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s/Desktop/Севастьянов/LLease/"/>
    </mc:Choice>
  </mc:AlternateContent>
  <xr:revisionPtr revIDLastSave="0" documentId="13_ncr:1_{F648EC6E-035E-1845-ADEE-4AA2B0955588}" xr6:coauthVersionLast="47" xr6:coauthVersionMax="47" xr10:uidLastSave="{00000000-0000-0000-0000-000000000000}"/>
  <bookViews>
    <workbookView xWindow="160" yWindow="500" windowWidth="25440" windowHeight="13980" xr2:uid="{A976C244-464E-414B-AAB3-AC3B793CDA90}"/>
  </bookViews>
  <sheets>
    <sheet name="Лизингополучатель платит НДС" sheetId="2" r:id="rId1"/>
    <sheet name="Лизингополучатель не платит НДС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4" l="1"/>
  <c r="I15" i="4"/>
  <c r="H13" i="4"/>
  <c r="W40" i="4"/>
  <c r="X40" i="4" s="1"/>
  <c r="W39" i="4"/>
  <c r="X39" i="4" s="1"/>
  <c r="W38" i="4"/>
  <c r="X38" i="4" s="1"/>
  <c r="X37" i="4"/>
  <c r="W37" i="4"/>
  <c r="M37" i="4"/>
  <c r="W36" i="4"/>
  <c r="X36" i="4" s="1"/>
  <c r="M36" i="4"/>
  <c r="J36" i="4"/>
  <c r="W35" i="4"/>
  <c r="X35" i="4" s="1"/>
  <c r="M35" i="4"/>
  <c r="X34" i="4"/>
  <c r="W34" i="4"/>
  <c r="M34" i="4"/>
  <c r="X33" i="4"/>
  <c r="W33" i="4"/>
  <c r="M33" i="4"/>
  <c r="W32" i="4"/>
  <c r="X32" i="4" s="1"/>
  <c r="W31" i="4"/>
  <c r="X31" i="4" s="1"/>
  <c r="W30" i="4"/>
  <c r="X30" i="4" s="1"/>
  <c r="X29" i="4"/>
  <c r="W29" i="4"/>
  <c r="X28" i="4"/>
  <c r="W28" i="4"/>
  <c r="M28" i="4"/>
  <c r="W27" i="4"/>
  <c r="X27" i="4" s="1"/>
  <c r="W26" i="4"/>
  <c r="X26" i="4" s="1"/>
  <c r="W25" i="4"/>
  <c r="X25" i="4" s="1"/>
  <c r="M25" i="4"/>
  <c r="X24" i="4"/>
  <c r="W24" i="4"/>
  <c r="M24" i="4"/>
  <c r="W23" i="4"/>
  <c r="X23" i="4" s="1"/>
  <c r="M23" i="4"/>
  <c r="X22" i="4"/>
  <c r="W22" i="4"/>
  <c r="M22" i="4"/>
  <c r="H23" i="4"/>
  <c r="W21" i="4"/>
  <c r="X21" i="4" s="1"/>
  <c r="H21" i="4"/>
  <c r="W20" i="4"/>
  <c r="X20" i="4" s="1"/>
  <c r="W19" i="4"/>
  <c r="X19" i="4" s="1"/>
  <c r="W18" i="4"/>
  <c r="X18" i="4" s="1"/>
  <c r="W17" i="4"/>
  <c r="X17" i="4" s="1"/>
  <c r="X16" i="4"/>
  <c r="W16" i="4"/>
  <c r="M16" i="4"/>
  <c r="W15" i="4"/>
  <c r="X15" i="4" s="1"/>
  <c r="M15" i="4"/>
  <c r="W14" i="4"/>
  <c r="X14" i="4" s="1"/>
  <c r="W13" i="4"/>
  <c r="X13" i="4" s="1"/>
  <c r="J13" i="4"/>
  <c r="X12" i="4"/>
  <c r="W12" i="4"/>
  <c r="M12" i="4"/>
  <c r="X11" i="4"/>
  <c r="W11" i="4"/>
  <c r="M11" i="4"/>
  <c r="W10" i="4"/>
  <c r="X10" i="4" s="1"/>
  <c r="M10" i="4"/>
  <c r="W9" i="4"/>
  <c r="X9" i="4" s="1"/>
  <c r="H9" i="4"/>
  <c r="X8" i="4"/>
  <c r="W8" i="4"/>
  <c r="M8" i="4"/>
  <c r="I8" i="4"/>
  <c r="J8" i="4" s="1"/>
  <c r="X7" i="4"/>
  <c r="W7" i="4"/>
  <c r="M7" i="4"/>
  <c r="W6" i="4"/>
  <c r="X6" i="4" s="1"/>
  <c r="M6" i="4"/>
  <c r="J6" i="4"/>
  <c r="I6" i="4"/>
  <c r="H6" i="4"/>
  <c r="X5" i="4"/>
  <c r="W5" i="4"/>
  <c r="J5" i="4"/>
  <c r="I5" i="4"/>
  <c r="V4" i="4"/>
  <c r="X4" i="4" s="1"/>
  <c r="X41" i="4" s="1"/>
  <c r="S4" i="4"/>
  <c r="T4" i="4" s="1"/>
  <c r="M4" i="4"/>
  <c r="M39" i="4" s="1"/>
  <c r="C15" i="2"/>
  <c r="C14" i="2"/>
  <c r="C13" i="2"/>
  <c r="Q7" i="2"/>
  <c r="T7" i="2"/>
  <c r="T6" i="2"/>
  <c r="T5" i="2"/>
  <c r="T4" i="2"/>
  <c r="C12" i="2"/>
  <c r="J36" i="2"/>
  <c r="J32" i="2"/>
  <c r="J23" i="2"/>
  <c r="J13" i="2"/>
  <c r="J8" i="2"/>
  <c r="P7" i="2"/>
  <c r="O4" i="2"/>
  <c r="I8" i="2"/>
  <c r="I9" i="2" s="1"/>
  <c r="J9" i="2" s="1"/>
  <c r="I5" i="2"/>
  <c r="I6" i="2" s="1"/>
  <c r="H21" i="2"/>
  <c r="H22" i="2"/>
  <c r="H23" i="2" s="1"/>
  <c r="H13" i="2"/>
  <c r="H32" i="2" s="1"/>
  <c r="H9" i="2"/>
  <c r="H6" i="2"/>
  <c r="J6" i="2" s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5" i="2"/>
  <c r="S4" i="2"/>
  <c r="V4" i="2"/>
  <c r="X4" i="2" s="1"/>
  <c r="H25" i="4" l="1"/>
  <c r="J25" i="4" s="1"/>
  <c r="J23" i="4"/>
  <c r="O4" i="4"/>
  <c r="M5" i="4"/>
  <c r="J22" i="4"/>
  <c r="C12" i="4" s="1"/>
  <c r="M29" i="4"/>
  <c r="I9" i="4"/>
  <c r="J9" i="4" s="1"/>
  <c r="M9" i="4"/>
  <c r="M13" i="4"/>
  <c r="M17" i="4"/>
  <c r="M20" i="4"/>
  <c r="I21" i="4"/>
  <c r="I26" i="4" s="1"/>
  <c r="J26" i="4" s="1"/>
  <c r="M26" i="4"/>
  <c r="J32" i="4"/>
  <c r="M38" i="4"/>
  <c r="M19" i="4"/>
  <c r="M31" i="4"/>
  <c r="M40" i="4"/>
  <c r="M14" i="4"/>
  <c r="M18" i="4"/>
  <c r="M21" i="4"/>
  <c r="M27" i="4"/>
  <c r="M30" i="4"/>
  <c r="M32" i="4"/>
  <c r="J5" i="2"/>
  <c r="H25" i="2"/>
  <c r="J25" i="2" s="1"/>
  <c r="I21" i="2"/>
  <c r="J21" i="2" s="1"/>
  <c r="H38" i="2"/>
  <c r="J38" i="2" s="1"/>
  <c r="R5" i="2"/>
  <c r="X5" i="2"/>
  <c r="H38" i="4" l="1"/>
  <c r="J38" i="4" s="1"/>
  <c r="T7" i="4"/>
  <c r="T6" i="4"/>
  <c r="T5" i="4"/>
  <c r="R5" i="4"/>
  <c r="I16" i="4"/>
  <c r="J15" i="4"/>
  <c r="J21" i="4"/>
  <c r="I17" i="4" l="1"/>
  <c r="I27" i="4" s="1"/>
  <c r="I28" i="4" s="1"/>
  <c r="I33" i="4" s="1"/>
  <c r="I34" i="4" s="1"/>
  <c r="Q5" i="4"/>
  <c r="O5" i="4" s="1"/>
  <c r="I18" i="4" l="1"/>
  <c r="I37" i="4" s="1"/>
  <c r="I39" i="4" s="1"/>
  <c r="R6" i="4"/>
  <c r="Q6" i="4" l="1"/>
  <c r="O6" i="4" s="1"/>
  <c r="R7" i="4" l="1"/>
  <c r="Q7" i="4" l="1"/>
  <c r="O7" i="4" s="1"/>
  <c r="T34" i="4" l="1"/>
  <c r="T24" i="4"/>
  <c r="T16" i="4"/>
  <c r="T12" i="4"/>
  <c r="T11" i="4"/>
  <c r="T8" i="4"/>
  <c r="T39" i="4"/>
  <c r="T14" i="4"/>
  <c r="T31" i="4"/>
  <c r="T9" i="4"/>
  <c r="T36" i="4"/>
  <c r="T35" i="4"/>
  <c r="T23" i="4"/>
  <c r="R8" i="4"/>
  <c r="T21" i="4"/>
  <c r="T20" i="4"/>
  <c r="T33" i="4"/>
  <c r="T28" i="4"/>
  <c r="T22" i="4"/>
  <c r="T15" i="4"/>
  <c r="T26" i="4"/>
  <c r="T17" i="4"/>
  <c r="T13" i="4"/>
  <c r="T38" i="4"/>
  <c r="T37" i="4"/>
  <c r="T25" i="4"/>
  <c r="T10" i="4"/>
  <c r="T29" i="4"/>
  <c r="T32" i="4"/>
  <c r="T30" i="4"/>
  <c r="T27" i="4"/>
  <c r="T18" i="4"/>
  <c r="T40" i="4"/>
  <c r="T19" i="4"/>
  <c r="Q8" i="4" l="1"/>
  <c r="O8" i="4" s="1"/>
  <c r="T41" i="4"/>
  <c r="C13" i="4" s="1"/>
  <c r="R9" i="4" l="1"/>
  <c r="Q9" i="4" s="1"/>
  <c r="O9" i="4" s="1"/>
  <c r="R10" i="4" l="1"/>
  <c r="Q10" i="4" s="1"/>
  <c r="O10" i="4"/>
  <c r="R11" i="4" l="1"/>
  <c r="Q11" i="4" s="1"/>
  <c r="O11" i="4" s="1"/>
  <c r="R12" i="4" l="1"/>
  <c r="Q12" i="4" s="1"/>
  <c r="O12" i="4"/>
  <c r="R13" i="4" l="1"/>
  <c r="Q13" i="4" s="1"/>
  <c r="O13" i="4" s="1"/>
  <c r="R14" i="4" l="1"/>
  <c r="Q14" i="4" s="1"/>
  <c r="O14" i="4"/>
  <c r="R15" i="4" l="1"/>
  <c r="Q15" i="4" s="1"/>
  <c r="O15" i="4"/>
  <c r="R16" i="4" l="1"/>
  <c r="Q16" i="4" s="1"/>
  <c r="O16" i="4" s="1"/>
  <c r="R17" i="4" l="1"/>
  <c r="Q17" i="4" s="1"/>
  <c r="O17" i="4" s="1"/>
  <c r="R18" i="4" l="1"/>
  <c r="Q18" i="4" s="1"/>
  <c r="O18" i="4"/>
  <c r="R19" i="4" l="1"/>
  <c r="Q19" i="4" s="1"/>
  <c r="O19" i="4" s="1"/>
  <c r="R20" i="4" l="1"/>
  <c r="Q20" i="4" s="1"/>
  <c r="O20" i="4" s="1"/>
  <c r="R21" i="4" l="1"/>
  <c r="Q21" i="4" s="1"/>
  <c r="O21" i="4"/>
  <c r="R22" i="4" l="1"/>
  <c r="Q22" i="4" s="1"/>
  <c r="O22" i="4"/>
  <c r="R23" i="4" l="1"/>
  <c r="Q23" i="4" s="1"/>
  <c r="O23" i="4"/>
  <c r="R24" i="4" l="1"/>
  <c r="Q24" i="4" s="1"/>
  <c r="O24" i="4"/>
  <c r="R25" i="4" l="1"/>
  <c r="Q25" i="4" s="1"/>
  <c r="O25" i="4"/>
  <c r="R26" i="4" l="1"/>
  <c r="Q26" i="4" s="1"/>
  <c r="O26" i="4" s="1"/>
  <c r="R27" i="4" l="1"/>
  <c r="Q27" i="4" s="1"/>
  <c r="O27" i="4"/>
  <c r="R28" i="4" l="1"/>
  <c r="Q28" i="4" s="1"/>
  <c r="O28" i="4" s="1"/>
  <c r="R29" i="4" l="1"/>
  <c r="Q29" i="4" s="1"/>
  <c r="O29" i="4" s="1"/>
  <c r="R30" i="4" l="1"/>
  <c r="Q30" i="4" s="1"/>
  <c r="O30" i="4"/>
  <c r="R31" i="4" l="1"/>
  <c r="Q31" i="4" s="1"/>
  <c r="O31" i="4" s="1"/>
  <c r="R32" i="4" l="1"/>
  <c r="Q32" i="4" s="1"/>
  <c r="O32" i="4"/>
  <c r="R33" i="4" l="1"/>
  <c r="Q33" i="4" s="1"/>
  <c r="O33" i="4" s="1"/>
  <c r="R34" i="4" l="1"/>
  <c r="Q34" i="4" s="1"/>
  <c r="O34" i="4"/>
  <c r="R35" i="4" l="1"/>
  <c r="Q35" i="4" s="1"/>
  <c r="O35" i="4"/>
  <c r="R36" i="4" l="1"/>
  <c r="Q36" i="4" s="1"/>
  <c r="O36" i="4"/>
  <c r="M4" i="2"/>
  <c r="R37" i="4" l="1"/>
  <c r="Q37" i="4" s="1"/>
  <c r="O37" i="4"/>
  <c r="M12" i="2"/>
  <c r="M20" i="2"/>
  <c r="M28" i="2"/>
  <c r="M36" i="2"/>
  <c r="M31" i="2"/>
  <c r="M24" i="2"/>
  <c r="M17" i="2"/>
  <c r="M18" i="2"/>
  <c r="M13" i="2"/>
  <c r="M21" i="2"/>
  <c r="M29" i="2"/>
  <c r="M37" i="2"/>
  <c r="M7" i="2"/>
  <c r="M15" i="2"/>
  <c r="M23" i="2"/>
  <c r="M8" i="2"/>
  <c r="M16" i="2"/>
  <c r="M32" i="2"/>
  <c r="M25" i="2"/>
  <c r="M26" i="2"/>
  <c r="M6" i="2"/>
  <c r="M14" i="2"/>
  <c r="M22" i="2"/>
  <c r="M30" i="2"/>
  <c r="M38" i="2"/>
  <c r="M39" i="2"/>
  <c r="M40" i="2"/>
  <c r="M5" i="2"/>
  <c r="M34" i="2"/>
  <c r="M9" i="2"/>
  <c r="M11" i="2"/>
  <c r="M19" i="2"/>
  <c r="M27" i="2"/>
  <c r="M35" i="2"/>
  <c r="M33" i="2"/>
  <c r="M10" i="2"/>
  <c r="R38" i="4" l="1"/>
  <c r="Q38" i="4" s="1"/>
  <c r="O38" i="4" s="1"/>
  <c r="X29" i="2"/>
  <c r="X10" i="2"/>
  <c r="X18" i="2"/>
  <c r="X22" i="2"/>
  <c r="X26" i="2"/>
  <c r="X30" i="2"/>
  <c r="X34" i="2"/>
  <c r="X38" i="2"/>
  <c r="X21" i="2"/>
  <c r="X39" i="2"/>
  <c r="X13" i="2"/>
  <c r="X37" i="2"/>
  <c r="X14" i="2"/>
  <c r="X8" i="2"/>
  <c r="X23" i="2"/>
  <c r="X35" i="2"/>
  <c r="X19" i="2"/>
  <c r="X40" i="2"/>
  <c r="X9" i="2"/>
  <c r="X33" i="2"/>
  <c r="X15" i="2"/>
  <c r="X27" i="2"/>
  <c r="X24" i="2"/>
  <c r="X17" i="2"/>
  <c r="X25" i="2"/>
  <c r="X11" i="2"/>
  <c r="X6" i="2"/>
  <c r="X31" i="2"/>
  <c r="X7" i="2"/>
  <c r="X12" i="2"/>
  <c r="X16" i="2"/>
  <c r="X20" i="2"/>
  <c r="X28" i="2"/>
  <c r="X32" i="2"/>
  <c r="X36" i="2"/>
  <c r="R39" i="4" l="1"/>
  <c r="Q39" i="4" s="1"/>
  <c r="O39" i="4" s="1"/>
  <c r="X41" i="2"/>
  <c r="I26" i="2" s="1"/>
  <c r="J26" i="2" s="1"/>
  <c r="R40" i="4" l="1"/>
  <c r="I22" i="2"/>
  <c r="J22" i="2" s="1"/>
  <c r="I15" i="2"/>
  <c r="Q40" i="4" l="1"/>
  <c r="O40" i="4" s="1"/>
  <c r="R41" i="4"/>
  <c r="H14" i="4" s="1"/>
  <c r="I16" i="2"/>
  <c r="J15" i="2"/>
  <c r="I17" i="2"/>
  <c r="I27" i="2" s="1"/>
  <c r="I28" i="2" s="1"/>
  <c r="I33" i="2" s="1"/>
  <c r="I34" i="2" s="1"/>
  <c r="H24" i="4" l="1"/>
  <c r="J14" i="4"/>
  <c r="H16" i="4"/>
  <c r="I18" i="2"/>
  <c r="I37" i="2" s="1"/>
  <c r="I39" i="2" s="1"/>
  <c r="Q5" i="2"/>
  <c r="O5" i="2" s="1"/>
  <c r="J16" i="4" l="1"/>
  <c r="H17" i="4"/>
  <c r="J24" i="4"/>
  <c r="R6" i="2"/>
  <c r="Q6" i="2"/>
  <c r="O6" i="2"/>
  <c r="R7" i="2"/>
  <c r="H27" i="4" l="1"/>
  <c r="J17" i="4"/>
  <c r="C14" i="4" s="1"/>
  <c r="C15" i="4" s="1"/>
  <c r="H18" i="4"/>
  <c r="O7" i="2"/>
  <c r="J18" i="4" l="1"/>
  <c r="H37" i="4"/>
  <c r="J27" i="4"/>
  <c r="H28" i="4"/>
  <c r="T16" i="2"/>
  <c r="T24" i="2"/>
  <c r="T32" i="2"/>
  <c r="T40" i="2"/>
  <c r="T9" i="2"/>
  <c r="T17" i="2"/>
  <c r="T25" i="2"/>
  <c r="T33" i="2"/>
  <c r="T8" i="2"/>
  <c r="T19" i="2"/>
  <c r="T10" i="2"/>
  <c r="T18" i="2"/>
  <c r="T26" i="2"/>
  <c r="T34" i="2"/>
  <c r="T27" i="2"/>
  <c r="T11" i="2"/>
  <c r="T35" i="2"/>
  <c r="T12" i="2"/>
  <c r="T20" i="2"/>
  <c r="T28" i="2"/>
  <c r="T36" i="2"/>
  <c r="T13" i="2"/>
  <c r="T21" i="2"/>
  <c r="T29" i="2"/>
  <c r="T37" i="2"/>
  <c r="T14" i="2"/>
  <c r="T22" i="2"/>
  <c r="T30" i="2"/>
  <c r="T38" i="2"/>
  <c r="T15" i="2"/>
  <c r="T23" i="2"/>
  <c r="T31" i="2"/>
  <c r="T39" i="2"/>
  <c r="R8" i="2"/>
  <c r="Q8" i="2"/>
  <c r="O8" i="2" s="1"/>
  <c r="H33" i="4" l="1"/>
  <c r="J28" i="4"/>
  <c r="H39" i="4"/>
  <c r="J39" i="4" s="1"/>
  <c r="J37" i="4"/>
  <c r="R9" i="2"/>
  <c r="Q9" i="2" s="1"/>
  <c r="O9" i="2" s="1"/>
  <c r="T41" i="2"/>
  <c r="H34" i="4" l="1"/>
  <c r="J34" i="4" s="1"/>
  <c r="J33" i="4"/>
  <c r="R10" i="2"/>
  <c r="Q10" i="2" l="1"/>
  <c r="O10" i="2" s="1"/>
  <c r="R11" i="2" l="1"/>
  <c r="Q11" i="2" l="1"/>
  <c r="O11" i="2" s="1"/>
  <c r="R12" i="2" l="1"/>
  <c r="Q12" i="2" l="1"/>
  <c r="O12" i="2" s="1"/>
  <c r="R13" i="2" l="1"/>
  <c r="Q13" i="2" l="1"/>
  <c r="O13" i="2" s="1"/>
  <c r="R14" i="2" l="1"/>
  <c r="Q14" i="2" l="1"/>
  <c r="O14" i="2" s="1"/>
  <c r="R15" i="2" l="1"/>
  <c r="Q15" i="2" s="1"/>
  <c r="O15" i="2"/>
  <c r="R16" i="2" l="1"/>
  <c r="Q16" i="2" s="1"/>
  <c r="O16" i="2" s="1"/>
  <c r="R17" i="2" l="1"/>
  <c r="Q17" i="2" s="1"/>
  <c r="O17" i="2" s="1"/>
  <c r="R18" i="2" l="1"/>
  <c r="Q18" i="2" s="1"/>
  <c r="O18" i="2" s="1"/>
  <c r="R19" i="2" l="1"/>
  <c r="Q19" i="2" s="1"/>
  <c r="O19" i="2"/>
  <c r="R20" i="2" l="1"/>
  <c r="Q20" i="2" s="1"/>
  <c r="O20" i="2"/>
  <c r="R21" i="2" l="1"/>
  <c r="Q21" i="2" s="1"/>
  <c r="O21" i="2" s="1"/>
  <c r="R22" i="2" l="1"/>
  <c r="Q22" i="2" s="1"/>
  <c r="O22" i="2" s="1"/>
  <c r="R23" i="2" l="1"/>
  <c r="Q23" i="2" s="1"/>
  <c r="O23" i="2" s="1"/>
  <c r="R24" i="2" l="1"/>
  <c r="Q24" i="2" s="1"/>
  <c r="O24" i="2" s="1"/>
  <c r="R25" i="2" l="1"/>
  <c r="Q25" i="2" s="1"/>
  <c r="O25" i="2" s="1"/>
  <c r="R26" i="2" l="1"/>
  <c r="Q26" i="2" s="1"/>
  <c r="O26" i="2" s="1"/>
  <c r="R27" i="2" l="1"/>
  <c r="Q27" i="2" s="1"/>
  <c r="O27" i="2"/>
  <c r="R28" i="2" l="1"/>
  <c r="Q28" i="2" s="1"/>
  <c r="O28" i="2" s="1"/>
  <c r="R29" i="2" l="1"/>
  <c r="Q29" i="2" s="1"/>
  <c r="O29" i="2" s="1"/>
  <c r="R30" i="2" l="1"/>
  <c r="Q30" i="2" s="1"/>
  <c r="O30" i="2" s="1"/>
  <c r="R31" i="2" l="1"/>
  <c r="Q31" i="2" s="1"/>
  <c r="O31" i="2" s="1"/>
  <c r="R32" i="2" l="1"/>
  <c r="Q32" i="2" s="1"/>
  <c r="O32" i="2" s="1"/>
  <c r="R33" i="2" l="1"/>
  <c r="Q33" i="2" s="1"/>
  <c r="O33" i="2" s="1"/>
  <c r="R34" i="2" l="1"/>
  <c r="Q34" i="2" s="1"/>
  <c r="O34" i="2"/>
  <c r="R35" i="2" l="1"/>
  <c r="Q35" i="2" s="1"/>
  <c r="O35" i="2"/>
  <c r="R36" i="2" l="1"/>
  <c r="Q36" i="2" s="1"/>
  <c r="O36" i="2" s="1"/>
  <c r="R37" i="2" l="1"/>
  <c r="Q37" i="2" s="1"/>
  <c r="O37" i="2"/>
  <c r="R38" i="2" l="1"/>
  <c r="Q38" i="2" s="1"/>
  <c r="O38" i="2" s="1"/>
  <c r="R39" i="2" l="1"/>
  <c r="Q39" i="2" s="1"/>
  <c r="O39" i="2" s="1"/>
  <c r="R40" i="2" l="1"/>
  <c r="Q40" i="2" l="1"/>
  <c r="O40" i="2" s="1"/>
  <c r="R41" i="2"/>
  <c r="H14" i="2" s="1"/>
  <c r="H16" i="2" l="1"/>
  <c r="J14" i="2"/>
  <c r="H24" i="2"/>
  <c r="J24" i="2" l="1"/>
  <c r="J16" i="2"/>
  <c r="H17" i="2"/>
  <c r="H27" i="2" l="1"/>
  <c r="J17" i="2"/>
  <c r="H18" i="2"/>
  <c r="H37" i="2" l="1"/>
  <c r="J18" i="2"/>
  <c r="J27" i="2"/>
  <c r="H28" i="2"/>
  <c r="H33" i="2" l="1"/>
  <c r="J28" i="2"/>
  <c r="H39" i="2"/>
  <c r="J39" i="2" s="1"/>
  <c r="J37" i="2"/>
  <c r="J33" i="2" l="1"/>
  <c r="H34" i="2"/>
  <c r="J34" i="2" s="1"/>
</calcChain>
</file>

<file path=xl/sharedStrings.xml><?xml version="1.0" encoding="utf-8"?>
<sst xmlns="http://schemas.openxmlformats.org/spreadsheetml/2006/main" count="112" uniqueCount="49">
  <si>
    <t>Аванс</t>
  </si>
  <si>
    <t>Срок, мес</t>
  </si>
  <si>
    <t>Исходные данные</t>
  </si>
  <si>
    <t>Дата передачи автомобиля</t>
  </si>
  <si>
    <t>Ежемесячный платеж</t>
  </si>
  <si>
    <t>Стоимость имущества (ДКП) с НДС</t>
  </si>
  <si>
    <t>Выкупная стоимость с НДС</t>
  </si>
  <si>
    <t>Ставка (простой %)</t>
  </si>
  <si>
    <t>Кредит</t>
  </si>
  <si>
    <t xml:space="preserve">Дата </t>
  </si>
  <si>
    <t>Сумма кредита</t>
  </si>
  <si>
    <t>% по кредиту</t>
  </si>
  <si>
    <t>Общие платежи</t>
  </si>
  <si>
    <t>Лизинг</t>
  </si>
  <si>
    <t>Разница</t>
  </si>
  <si>
    <t>Налог на прибыль</t>
  </si>
  <si>
    <t>Амортизация</t>
  </si>
  <si>
    <t>Баланс на начало</t>
  </si>
  <si>
    <t>Деньги</t>
  </si>
  <si>
    <t>Итого Актив</t>
  </si>
  <si>
    <t>Уставной капитал</t>
  </si>
  <si>
    <t>Итого Пассив</t>
  </si>
  <si>
    <t>% за кредит</t>
  </si>
  <si>
    <t>Всего расходы</t>
  </si>
  <si>
    <t>Чистая прибыль/убыток</t>
  </si>
  <si>
    <t>Оплата аванса</t>
  </si>
  <si>
    <t>Возмещение НДС</t>
  </si>
  <si>
    <t>Досрочное погашение кредита за счет НДС</t>
  </si>
  <si>
    <t>Погашение %</t>
  </si>
  <si>
    <t>Экономия по налогу на прибыль</t>
  </si>
  <si>
    <t>Движение денег за срок кредита/лизинга</t>
  </si>
  <si>
    <t>Погашение основного долга кредита</t>
  </si>
  <si>
    <t>Итого изменение денег за период</t>
  </si>
  <si>
    <t>Баланс на конец</t>
  </si>
  <si>
    <t>Нераспределенная прибыль</t>
  </si>
  <si>
    <t>Автомобиль</t>
  </si>
  <si>
    <t>Доходы/расходы за срок кредита/лизинга в налоговом учете</t>
  </si>
  <si>
    <t>Оплата лизинга</t>
  </si>
  <si>
    <t>Погашение договора лизинга</t>
  </si>
  <si>
    <t>Долг по кредиту/лизингу</t>
  </si>
  <si>
    <t>Аванс за автомобиль</t>
  </si>
  <si>
    <t>Погашения долга по графику</t>
  </si>
  <si>
    <t>Досрочное погашение</t>
  </si>
  <si>
    <t>Разница по чистой прибыли (Лизинг минус Кредит)</t>
  </si>
  <si>
    <t>Экономия на НДС (в лизинге больше возмещается НДС)</t>
  </si>
  <si>
    <t>Перерасход в лизинговых платежах за счет того, что кредит можно гасить досрочно деньгами от возмещения НДС за автомобиль, эти деньги в кредитной схеме приходят почти сразу из бюджета, а в лизинге постепенно)</t>
  </si>
  <si>
    <t>Экономия на налоге на прибыль (практически от сутствует</t>
  </si>
  <si>
    <t>Экономии ни по НДС, ни по налогу на прибыль нет, полученная сумма 919 руб не существенна и зависит от сроков возмещения НДС в кредитной сделке</t>
  </si>
  <si>
    <t>Экономии ни по НДС, ни по налогу на прибыль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</si>
</sst>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9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top"/>
    </xf>
    <xf numFmtId="0" fontId="2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A705-4575-C942-87DD-E1708265AB07}">
  <dimension ref="B2:X41"/>
  <sheetViews>
    <sheetView tabSelected="1" zoomScale="110" zoomScaleNormal="110" workbookViewId="0">
      <selection activeCell="B4" sqref="B4"/>
    </sheetView>
  </sheetViews>
  <sheetFormatPr baseColWidth="10" defaultRowHeight="16" x14ac:dyDescent="0.2"/>
  <cols>
    <col min="1" max="1" width="3.1640625" customWidth="1"/>
    <col min="2" max="2" width="36.1640625" customWidth="1"/>
    <col min="3" max="3" width="11.6640625" customWidth="1"/>
    <col min="4" max="6" width="5.5" customWidth="1"/>
    <col min="7" max="7" width="23.1640625" customWidth="1"/>
    <col min="8" max="9" width="12" customWidth="1"/>
    <col min="10" max="10" width="14.6640625" customWidth="1"/>
    <col min="11" max="11" width="8.83203125" customWidth="1"/>
    <col min="12" max="12" width="5.5" customWidth="1"/>
    <col min="14" max="14" width="3.5" customWidth="1"/>
    <col min="15" max="15" width="17.5" customWidth="1"/>
    <col min="17" max="18" width="12" bestFit="1" customWidth="1"/>
    <col min="19" max="19" width="11.5" customWidth="1"/>
    <col min="20" max="20" width="12.6640625" bestFit="1" customWidth="1"/>
    <col min="22" max="22" width="15" customWidth="1"/>
    <col min="24" max="24" width="12" bestFit="1" customWidth="1"/>
    <col min="26" max="26" width="11.83203125" customWidth="1"/>
    <col min="27" max="27" width="12" bestFit="1" customWidth="1"/>
    <col min="29" max="29" width="14.5" customWidth="1"/>
    <col min="30" max="30" width="12.5" customWidth="1"/>
    <col min="33" max="33" width="12.1640625" customWidth="1"/>
  </cols>
  <sheetData>
    <row r="2" spans="2:24" x14ac:dyDescent="0.2">
      <c r="H2" s="9" t="s">
        <v>8</v>
      </c>
      <c r="I2" s="9" t="s">
        <v>13</v>
      </c>
      <c r="J2" s="10" t="s">
        <v>14</v>
      </c>
      <c r="O2" s="12" t="s">
        <v>8</v>
      </c>
      <c r="P2" s="12"/>
      <c r="Q2" s="12"/>
      <c r="R2" s="12"/>
      <c r="S2" s="12"/>
      <c r="T2" s="12"/>
      <c r="V2" s="12" t="s">
        <v>13</v>
      </c>
      <c r="W2" s="12"/>
      <c r="X2" s="12"/>
    </row>
    <row r="3" spans="2:24" x14ac:dyDescent="0.2">
      <c r="B3" s="5" t="s">
        <v>2</v>
      </c>
      <c r="G3" s="5" t="s">
        <v>17</v>
      </c>
      <c r="J3" s="10"/>
      <c r="M3" t="s">
        <v>9</v>
      </c>
      <c r="O3" t="s">
        <v>10</v>
      </c>
      <c r="P3" t="s">
        <v>42</v>
      </c>
      <c r="Q3" t="s">
        <v>41</v>
      </c>
      <c r="R3" t="s">
        <v>11</v>
      </c>
      <c r="S3" t="s">
        <v>40</v>
      </c>
      <c r="T3" t="s">
        <v>12</v>
      </c>
      <c r="V3" t="s">
        <v>0</v>
      </c>
      <c r="W3" t="s">
        <v>4</v>
      </c>
      <c r="X3" t="s">
        <v>12</v>
      </c>
    </row>
    <row r="4" spans="2:24" x14ac:dyDescent="0.2">
      <c r="J4" s="10"/>
      <c r="L4">
        <v>0</v>
      </c>
      <c r="M4" s="4">
        <f>C10</f>
        <v>44941</v>
      </c>
      <c r="N4" s="4"/>
      <c r="O4" s="1">
        <f>C5-S4</f>
        <v>1620000</v>
      </c>
      <c r="S4" s="1">
        <f>C5*C6</f>
        <v>180000</v>
      </c>
      <c r="T4" s="1">
        <f>SUM(P4:S4)</f>
        <v>180000</v>
      </c>
      <c r="V4" s="1">
        <f>C5*C6</f>
        <v>180000</v>
      </c>
      <c r="X4" s="1">
        <f>SUM(V4:W4)</f>
        <v>180000</v>
      </c>
    </row>
    <row r="5" spans="2:24" x14ac:dyDescent="0.2">
      <c r="B5" t="s">
        <v>5</v>
      </c>
      <c r="C5" s="1">
        <v>1800000</v>
      </c>
      <c r="G5" t="s">
        <v>18</v>
      </c>
      <c r="H5" s="7">
        <v>180000</v>
      </c>
      <c r="I5" s="7">
        <f>H5</f>
        <v>180000</v>
      </c>
      <c r="J5" s="11">
        <f>H5-I5</f>
        <v>0</v>
      </c>
      <c r="K5" s="7"/>
      <c r="L5">
        <v>1</v>
      </c>
      <c r="M5" s="4">
        <f>EDATE(M$4,L5)</f>
        <v>44972</v>
      </c>
      <c r="N5" s="4"/>
      <c r="O5" s="1">
        <f>O4-P5-Q5</f>
        <v>1585733.1192318148</v>
      </c>
      <c r="P5" s="1"/>
      <c r="Q5" s="1">
        <f>T5-R5</f>
        <v>34266.880768185278</v>
      </c>
      <c r="R5" s="1">
        <f>O4*C$9/12</f>
        <v>24300</v>
      </c>
      <c r="S5" s="1"/>
      <c r="T5" s="1">
        <f>PMT(C$9/12,C$8,-O$4,C$7)</f>
        <v>58566.880768185278</v>
      </c>
      <c r="V5" s="1"/>
      <c r="W5" s="1">
        <f>PMT(C$9/12,C$8,-C$5*(1-C$6),C$7)</f>
        <v>58566.880768185278</v>
      </c>
      <c r="X5" s="1">
        <f t="shared" ref="X5:X40" si="0">SUM(V5:W5)</f>
        <v>58566.880768185278</v>
      </c>
    </row>
    <row r="6" spans="2:24" x14ac:dyDescent="0.2">
      <c r="B6" t="s">
        <v>0</v>
      </c>
      <c r="C6" s="2">
        <v>0.1</v>
      </c>
      <c r="G6" s="5" t="s">
        <v>19</v>
      </c>
      <c r="H6" s="8">
        <f>SUM(H5:H5)</f>
        <v>180000</v>
      </c>
      <c r="I6" s="8">
        <f>SUM(I5:I5)</f>
        <v>180000</v>
      </c>
      <c r="J6" s="11">
        <f>H6-I6</f>
        <v>0</v>
      </c>
      <c r="K6" s="7"/>
      <c r="L6">
        <v>2</v>
      </c>
      <c r="M6" s="4">
        <f t="shared" ref="M6:M40" si="1">EDATE(M$4,L6)</f>
        <v>45000</v>
      </c>
      <c r="N6" s="4"/>
      <c r="O6" s="1">
        <f t="shared" ref="O6:O40" si="2">O5-P6-Q6</f>
        <v>1550952.2352521068</v>
      </c>
      <c r="P6" s="1"/>
      <c r="Q6" s="1">
        <f t="shared" ref="Q6:Q40" si="3">T6-R6</f>
        <v>34780.883979708058</v>
      </c>
      <c r="R6" s="1">
        <f t="shared" ref="R6:R40" si="4">O5*C$9/12</f>
        <v>23785.99678847722</v>
      </c>
      <c r="S6" s="1"/>
      <c r="T6" s="1">
        <f t="shared" ref="T6:T7" si="5">PMT(C$9/12,C$8,-O$4,C$7)</f>
        <v>58566.880768185278</v>
      </c>
      <c r="V6" s="1"/>
      <c r="W6" s="1">
        <f>PMT(C$9/12,C$8,-C$5*(1-C$6),C$7)</f>
        <v>58566.880768185278</v>
      </c>
      <c r="X6" s="1">
        <f t="shared" si="0"/>
        <v>58566.880768185278</v>
      </c>
    </row>
    <row r="7" spans="2:24" x14ac:dyDescent="0.2">
      <c r="B7" t="s">
        <v>6</v>
      </c>
      <c r="C7" s="1">
        <v>0</v>
      </c>
      <c r="J7" s="10"/>
      <c r="L7">
        <v>3</v>
      </c>
      <c r="M7" s="4">
        <f t="shared" si="1"/>
        <v>45031</v>
      </c>
      <c r="N7" s="4"/>
      <c r="O7" s="1">
        <f t="shared" si="2"/>
        <v>1215649.638012703</v>
      </c>
      <c r="P7" s="1">
        <f>C5/1.2*0.2</f>
        <v>300000</v>
      </c>
      <c r="Q7" s="1">
        <f>T7-R7-P7</f>
        <v>35302.597239403636</v>
      </c>
      <c r="R7" s="1">
        <f t="shared" si="4"/>
        <v>23264.283528781601</v>
      </c>
      <c r="S7" s="1"/>
      <c r="T7" s="1">
        <f>PMT(C$9/12,C$8,-O$4,C$7)+P7</f>
        <v>358566.88076818525</v>
      </c>
      <c r="V7" s="1"/>
      <c r="W7" s="1">
        <f>PMT(C$9/12,C$8,-C$5*(1-C$6),C$7)</f>
        <v>58566.880768185278</v>
      </c>
      <c r="X7" s="1">
        <f t="shared" si="0"/>
        <v>58566.880768185278</v>
      </c>
    </row>
    <row r="8" spans="2:24" x14ac:dyDescent="0.2">
      <c r="B8" t="s">
        <v>1</v>
      </c>
      <c r="C8">
        <v>36</v>
      </c>
      <c r="G8" t="s">
        <v>20</v>
      </c>
      <c r="H8" s="7">
        <v>180000</v>
      </c>
      <c r="I8" s="7">
        <f>H8</f>
        <v>180000</v>
      </c>
      <c r="J8" s="11">
        <f t="shared" ref="J8:J9" si="6">H8-I8</f>
        <v>0</v>
      </c>
      <c r="K8" s="7"/>
      <c r="L8">
        <v>4</v>
      </c>
      <c r="M8" s="4">
        <f t="shared" si="1"/>
        <v>45061</v>
      </c>
      <c r="N8" s="4"/>
      <c r="O8" s="1">
        <f t="shared" si="2"/>
        <v>1186909.9330664936</v>
      </c>
      <c r="Q8" s="1">
        <f t="shared" si="3"/>
        <v>28739.7049462094</v>
      </c>
      <c r="R8" s="1">
        <f t="shared" si="4"/>
        <v>18234.744570190545</v>
      </c>
      <c r="S8" s="1"/>
      <c r="T8" s="1">
        <f>PMT(C$9/12,C$8-3,-O$7,C$7)</f>
        <v>46974.449516399945</v>
      </c>
      <c r="V8" s="1"/>
      <c r="W8" s="1">
        <f>PMT(C$9/12,C$8,-C$5*(1-C$6),C$7)</f>
        <v>58566.880768185278</v>
      </c>
      <c r="X8" s="1">
        <f t="shared" si="0"/>
        <v>58566.880768185278</v>
      </c>
    </row>
    <row r="9" spans="2:24" x14ac:dyDescent="0.2">
      <c r="B9" t="s">
        <v>7</v>
      </c>
      <c r="C9" s="6">
        <v>0.18</v>
      </c>
      <c r="G9" s="5" t="s">
        <v>21</v>
      </c>
      <c r="H9" s="8">
        <f>SUM(H8:H8)</f>
        <v>180000</v>
      </c>
      <c r="I9" s="8">
        <f>SUM(I8:I8)</f>
        <v>180000</v>
      </c>
      <c r="J9" s="11">
        <f t="shared" si="6"/>
        <v>0</v>
      </c>
      <c r="K9" s="7"/>
      <c r="L9">
        <v>5</v>
      </c>
      <c r="M9" s="4">
        <f t="shared" si="1"/>
        <v>45092</v>
      </c>
      <c r="N9" s="4"/>
      <c r="O9" s="1">
        <f t="shared" si="2"/>
        <v>1157739.132546091</v>
      </c>
      <c r="Q9" s="1">
        <f t="shared" si="3"/>
        <v>29170.800520402543</v>
      </c>
      <c r="R9" s="1">
        <f t="shared" si="4"/>
        <v>17803.648995997402</v>
      </c>
      <c r="S9" s="1"/>
      <c r="T9" s="1">
        <f t="shared" ref="T9:T40" si="7">PMT(C$9/12,C$8-3,-O$7,C$7)</f>
        <v>46974.449516399945</v>
      </c>
      <c r="V9" s="1"/>
      <c r="W9" s="1">
        <f>PMT(C$9/12,C$8,-C$5*(1-C$6),C$7)</f>
        <v>58566.880768185278</v>
      </c>
      <c r="X9" s="1">
        <f t="shared" si="0"/>
        <v>58566.880768185278</v>
      </c>
    </row>
    <row r="10" spans="2:24" x14ac:dyDescent="0.2">
      <c r="B10" t="s">
        <v>3</v>
      </c>
      <c r="C10" s="4">
        <v>44941</v>
      </c>
      <c r="J10" s="10"/>
      <c r="L10">
        <v>6</v>
      </c>
      <c r="M10" s="4">
        <f t="shared" si="1"/>
        <v>45122</v>
      </c>
      <c r="N10" s="4"/>
      <c r="O10" s="1">
        <f t="shared" si="2"/>
        <v>1128130.7700178823</v>
      </c>
      <c r="Q10" s="1">
        <f t="shared" si="3"/>
        <v>29608.362528208581</v>
      </c>
      <c r="R10" s="1">
        <f t="shared" si="4"/>
        <v>17366.086988191364</v>
      </c>
      <c r="S10" s="1"/>
      <c r="T10" s="1">
        <f t="shared" si="7"/>
        <v>46974.449516399945</v>
      </c>
      <c r="V10" s="1"/>
      <c r="W10" s="1">
        <f>PMT(C$9/12,C$8,-C$5*(1-C$6),C$7)</f>
        <v>58566.880768185278</v>
      </c>
      <c r="X10" s="1">
        <f t="shared" si="0"/>
        <v>58566.880768185278</v>
      </c>
    </row>
    <row r="11" spans="2:24" x14ac:dyDescent="0.2">
      <c r="G11" s="5" t="s">
        <v>36</v>
      </c>
      <c r="J11" s="10"/>
      <c r="L11">
        <v>7</v>
      </c>
      <c r="M11" s="4">
        <f t="shared" si="1"/>
        <v>45153</v>
      </c>
      <c r="N11" s="4"/>
      <c r="O11" s="1">
        <f t="shared" si="2"/>
        <v>1098078.2820517507</v>
      </c>
      <c r="Q11" s="1">
        <f t="shared" si="3"/>
        <v>30052.48796613171</v>
      </c>
      <c r="R11" s="1">
        <f t="shared" si="4"/>
        <v>16921.961550268235</v>
      </c>
      <c r="S11" s="1"/>
      <c r="T11" s="1">
        <f t="shared" si="7"/>
        <v>46974.449516399945</v>
      </c>
      <c r="V11" s="1"/>
      <c r="W11" s="1">
        <f>PMT(C$9/12,C$8,-C$5*(1-C$6),C$7)</f>
        <v>58566.880768185278</v>
      </c>
      <c r="X11" s="1">
        <f t="shared" si="0"/>
        <v>58566.880768185278</v>
      </c>
    </row>
    <row r="12" spans="2:24" x14ac:dyDescent="0.2">
      <c r="B12" t="s">
        <v>44</v>
      </c>
      <c r="C12" s="7">
        <f>-J22</f>
        <v>81401.284609111724</v>
      </c>
      <c r="J12" s="10"/>
      <c r="L12">
        <v>8</v>
      </c>
      <c r="M12" s="4">
        <f t="shared" si="1"/>
        <v>45184</v>
      </c>
      <c r="N12" s="4"/>
      <c r="O12" s="1">
        <f t="shared" si="2"/>
        <v>1067575.006766127</v>
      </c>
      <c r="Q12" s="1">
        <f t="shared" si="3"/>
        <v>30503.275285623688</v>
      </c>
      <c r="R12" s="1">
        <f t="shared" si="4"/>
        <v>16471.174230776258</v>
      </c>
      <c r="S12" s="1"/>
      <c r="T12" s="1">
        <f t="shared" si="7"/>
        <v>46974.449516399945</v>
      </c>
      <c r="V12" s="1"/>
      <c r="W12" s="1">
        <f>PMT(C$9/12,C$8,-C$5*(1-C$6),C$7)</f>
        <v>58566.880768185278</v>
      </c>
      <c r="X12" s="1">
        <f t="shared" si="0"/>
        <v>58566.880768185278</v>
      </c>
    </row>
    <row r="13" spans="2:24" x14ac:dyDescent="0.2">
      <c r="B13" t="s">
        <v>45</v>
      </c>
      <c r="C13" s="7">
        <f>T41-X41</f>
        <v>-82550.231308914721</v>
      </c>
      <c r="G13" t="s">
        <v>16</v>
      </c>
      <c r="H13" s="7">
        <f>-C5/1.2</f>
        <v>-1500000</v>
      </c>
      <c r="I13">
        <v>0</v>
      </c>
      <c r="J13" s="11">
        <f t="shared" ref="J13:J17" si="8">H13-I13</f>
        <v>-1500000</v>
      </c>
      <c r="K13" s="7"/>
      <c r="L13">
        <v>9</v>
      </c>
      <c r="M13" s="4">
        <f t="shared" si="1"/>
        <v>45214</v>
      </c>
      <c r="N13" s="4"/>
      <c r="O13" s="1">
        <f t="shared" si="2"/>
        <v>1036614.1823512189</v>
      </c>
      <c r="Q13" s="1">
        <f t="shared" si="3"/>
        <v>30960.824414908042</v>
      </c>
      <c r="R13" s="1">
        <f t="shared" si="4"/>
        <v>16013.625101491903</v>
      </c>
      <c r="S13" s="1"/>
      <c r="T13" s="1">
        <f t="shared" si="7"/>
        <v>46974.449516399945</v>
      </c>
      <c r="V13" s="1"/>
      <c r="W13" s="1">
        <f>PMT(C$9/12,C$8,-C$5*(1-C$6),C$7)</f>
        <v>58566.880768185278</v>
      </c>
      <c r="X13" s="1">
        <f t="shared" si="0"/>
        <v>58566.880768185278</v>
      </c>
    </row>
    <row r="14" spans="2:24" x14ac:dyDescent="0.2">
      <c r="B14" t="s">
        <v>46</v>
      </c>
      <c r="C14" s="7">
        <f>-J17</f>
        <v>229.789339960902</v>
      </c>
      <c r="G14" t="s">
        <v>22</v>
      </c>
      <c r="H14" s="7">
        <f>-R41</f>
        <v>-405857.47634575394</v>
      </c>
      <c r="I14">
        <v>0</v>
      </c>
      <c r="J14" s="11">
        <f t="shared" si="8"/>
        <v>-405857.47634575394</v>
      </c>
      <c r="K14" s="7"/>
      <c r="L14">
        <v>10</v>
      </c>
      <c r="M14" s="4">
        <f t="shared" si="1"/>
        <v>45245</v>
      </c>
      <c r="N14" s="4"/>
      <c r="O14" s="1">
        <f t="shared" si="2"/>
        <v>1005188.9455700872</v>
      </c>
      <c r="Q14" s="1">
        <f t="shared" si="3"/>
        <v>31425.236781131665</v>
      </c>
      <c r="R14" s="1">
        <f t="shared" si="4"/>
        <v>15549.212735268282</v>
      </c>
      <c r="S14" s="1"/>
      <c r="T14" s="1">
        <f t="shared" si="7"/>
        <v>46974.449516399945</v>
      </c>
      <c r="V14" s="1"/>
      <c r="W14" s="1">
        <f>PMT(C$9/12,C$8,-C$5*(1-C$6),C$7)</f>
        <v>58566.880768185278</v>
      </c>
      <c r="X14" s="1">
        <f t="shared" si="0"/>
        <v>58566.880768185278</v>
      </c>
    </row>
    <row r="15" spans="2:24" x14ac:dyDescent="0.2">
      <c r="B15" s="5" t="s">
        <v>43</v>
      </c>
      <c r="C15" s="8">
        <f>SUM(C12:C14)</f>
        <v>-919.15735984209459</v>
      </c>
      <c r="G15" t="s">
        <v>37</v>
      </c>
      <c r="H15" s="7">
        <v>0</v>
      </c>
      <c r="I15" s="11">
        <f>-X41/1.2</f>
        <v>-1907006.4230455584</v>
      </c>
      <c r="J15" s="11">
        <f t="shared" si="8"/>
        <v>1907006.4230455584</v>
      </c>
      <c r="K15" s="7"/>
      <c r="L15">
        <v>11</v>
      </c>
      <c r="M15" s="4">
        <f t="shared" si="1"/>
        <v>45275</v>
      </c>
      <c r="N15" s="4"/>
      <c r="O15" s="1">
        <f t="shared" si="2"/>
        <v>973292.33023723855</v>
      </c>
      <c r="Q15" s="1">
        <f t="shared" si="3"/>
        <v>31896.61533284864</v>
      </c>
      <c r="R15" s="1">
        <f t="shared" si="4"/>
        <v>15077.834183551307</v>
      </c>
      <c r="S15" s="1"/>
      <c r="T15" s="1">
        <f t="shared" si="7"/>
        <v>46974.449516399945</v>
      </c>
      <c r="V15" s="1"/>
      <c r="W15" s="1">
        <f>PMT(C$9/12,C$8,-C$5*(1-C$6),C$7)</f>
        <v>58566.880768185278</v>
      </c>
      <c r="X15" s="1">
        <f t="shared" si="0"/>
        <v>58566.880768185278</v>
      </c>
    </row>
    <row r="16" spans="2:24" x14ac:dyDescent="0.2">
      <c r="B16" s="14"/>
      <c r="C16" s="14"/>
      <c r="G16" s="10" t="s">
        <v>23</v>
      </c>
      <c r="H16" s="11">
        <f>SUM(H13:H15)</f>
        <v>-1905857.476345754</v>
      </c>
      <c r="I16" s="11">
        <f>SUM(I13:I15)</f>
        <v>-1907006.4230455584</v>
      </c>
      <c r="J16" s="11">
        <f t="shared" si="8"/>
        <v>1148.9466998043936</v>
      </c>
      <c r="K16" s="7"/>
      <c r="L16">
        <v>12</v>
      </c>
      <c r="M16" s="4">
        <f t="shared" si="1"/>
        <v>45306</v>
      </c>
      <c r="N16" s="4"/>
      <c r="O16" s="1">
        <f t="shared" si="2"/>
        <v>940917.26567439723</v>
      </c>
      <c r="Q16" s="1">
        <f t="shared" si="3"/>
        <v>32375.064562841369</v>
      </c>
      <c r="R16" s="1">
        <f t="shared" si="4"/>
        <v>14599.384953558578</v>
      </c>
      <c r="S16" s="1"/>
      <c r="T16" s="1">
        <f t="shared" si="7"/>
        <v>46974.449516399945</v>
      </c>
      <c r="V16" s="1"/>
      <c r="W16" s="1">
        <f>PMT(C$9/12,C$8,-C$5*(1-C$6),C$7)</f>
        <v>58566.880768185278</v>
      </c>
      <c r="X16" s="1">
        <f t="shared" si="0"/>
        <v>58566.880768185278</v>
      </c>
    </row>
    <row r="17" spans="2:24" x14ac:dyDescent="0.2">
      <c r="B17" s="15" t="s">
        <v>47</v>
      </c>
      <c r="C17" s="15"/>
      <c r="G17" t="s">
        <v>15</v>
      </c>
      <c r="H17" s="7">
        <f>-H16*0.2</f>
        <v>381171.49526915082</v>
      </c>
      <c r="I17" s="7">
        <f>-I16*0.2</f>
        <v>381401.28460911172</v>
      </c>
      <c r="J17" s="11">
        <f t="shared" si="8"/>
        <v>-229.789339960902</v>
      </c>
      <c r="K17" s="7"/>
      <c r="L17">
        <v>13</v>
      </c>
      <c r="M17" s="4">
        <f t="shared" si="1"/>
        <v>45337</v>
      </c>
      <c r="N17" s="4"/>
      <c r="O17" s="1">
        <f t="shared" si="2"/>
        <v>908056.57514311327</v>
      </c>
      <c r="Q17" s="1">
        <f t="shared" si="3"/>
        <v>32860.690531283988</v>
      </c>
      <c r="R17" s="1">
        <f t="shared" si="4"/>
        <v>14113.758985115957</v>
      </c>
      <c r="S17" s="1"/>
      <c r="T17" s="1">
        <f t="shared" si="7"/>
        <v>46974.449516399945</v>
      </c>
      <c r="V17" s="1"/>
      <c r="W17" s="1">
        <f>PMT(C$9/12,C$8,-C$5*(1-C$6),C$7)</f>
        <v>58566.880768185278</v>
      </c>
      <c r="X17" s="1">
        <f t="shared" si="0"/>
        <v>58566.880768185278</v>
      </c>
    </row>
    <row r="18" spans="2:24" ht="20" customHeight="1" x14ac:dyDescent="0.2">
      <c r="B18" s="15"/>
      <c r="C18" s="15"/>
      <c r="G18" s="5" t="s">
        <v>24</v>
      </c>
      <c r="H18" s="8">
        <f>SUM(H16:H17)</f>
        <v>-1524685.9810766033</v>
      </c>
      <c r="I18" s="8">
        <f>SUM(I16:I17)</f>
        <v>-1525605.1384364467</v>
      </c>
      <c r="J18" s="13">
        <f>H18-I18</f>
        <v>919.15735984337516</v>
      </c>
      <c r="K18" s="7"/>
      <c r="L18">
        <v>14</v>
      </c>
      <c r="M18" s="4">
        <f t="shared" si="1"/>
        <v>45366</v>
      </c>
      <c r="N18" s="4"/>
      <c r="O18" s="1">
        <f t="shared" si="2"/>
        <v>874702.97425386007</v>
      </c>
      <c r="Q18" s="1">
        <f t="shared" si="3"/>
        <v>33353.600889253248</v>
      </c>
      <c r="R18" s="1">
        <f t="shared" si="4"/>
        <v>13620.848627146699</v>
      </c>
      <c r="S18" s="1"/>
      <c r="T18" s="1">
        <f t="shared" si="7"/>
        <v>46974.449516399945</v>
      </c>
      <c r="V18" s="1"/>
      <c r="W18" s="1">
        <f>PMT(C$9/12,C$8,-C$5*(1-C$6),C$7)</f>
        <v>58566.880768185278</v>
      </c>
      <c r="X18" s="1">
        <f t="shared" si="0"/>
        <v>58566.880768185278</v>
      </c>
    </row>
    <row r="19" spans="2:24" x14ac:dyDescent="0.2">
      <c r="B19" s="15"/>
      <c r="C19" s="15"/>
      <c r="J19" s="10"/>
      <c r="L19">
        <v>15</v>
      </c>
      <c r="M19" s="4">
        <f t="shared" si="1"/>
        <v>45397</v>
      </c>
      <c r="N19" s="4"/>
      <c r="O19" s="1">
        <f t="shared" si="2"/>
        <v>840849.069351268</v>
      </c>
      <c r="Q19" s="1">
        <f t="shared" si="3"/>
        <v>33853.904902592047</v>
      </c>
      <c r="R19" s="1">
        <f t="shared" si="4"/>
        <v>13120.544613807901</v>
      </c>
      <c r="S19" s="1"/>
      <c r="T19" s="1">
        <f t="shared" si="7"/>
        <v>46974.449516399945</v>
      </c>
      <c r="V19" s="1"/>
      <c r="W19" s="1">
        <f>PMT(C$9/12,C$8,-C$5*(1-C$6),C$7)</f>
        <v>58566.880768185278</v>
      </c>
      <c r="X19" s="1">
        <f t="shared" si="0"/>
        <v>58566.880768185278</v>
      </c>
    </row>
    <row r="20" spans="2:24" x14ac:dyDescent="0.2">
      <c r="B20" s="15"/>
      <c r="C20" s="15"/>
      <c r="G20" s="5" t="s">
        <v>30</v>
      </c>
      <c r="J20" s="10"/>
      <c r="L20">
        <v>16</v>
      </c>
      <c r="M20" s="4">
        <f t="shared" si="1"/>
        <v>45427</v>
      </c>
      <c r="N20" s="4"/>
      <c r="O20" s="1">
        <f t="shared" si="2"/>
        <v>806487.35587513703</v>
      </c>
      <c r="Q20" s="1">
        <f t="shared" si="3"/>
        <v>34361.713476130928</v>
      </c>
      <c r="R20" s="1">
        <f t="shared" si="4"/>
        <v>12612.736040269019</v>
      </c>
      <c r="S20" s="1"/>
      <c r="T20" s="1">
        <f t="shared" si="7"/>
        <v>46974.449516399945</v>
      </c>
      <c r="V20" s="1"/>
      <c r="W20" s="1">
        <f>PMT(C$9/12,C$8,-C$5*(1-C$6),C$7)</f>
        <v>58566.880768185278</v>
      </c>
      <c r="X20" s="1">
        <f t="shared" si="0"/>
        <v>58566.880768185278</v>
      </c>
    </row>
    <row r="21" spans="2:24" x14ac:dyDescent="0.2">
      <c r="B21" s="15"/>
      <c r="C21" s="15"/>
      <c r="G21" t="s">
        <v>25</v>
      </c>
      <c r="H21" s="7">
        <f>-C5*C6</f>
        <v>-180000</v>
      </c>
      <c r="I21" s="7">
        <f>H21</f>
        <v>-180000</v>
      </c>
      <c r="J21" s="11">
        <f t="shared" ref="J21:J28" si="9">H21-I21</f>
        <v>0</v>
      </c>
      <c r="K21" s="7"/>
      <c r="L21">
        <v>17</v>
      </c>
      <c r="M21" s="4">
        <f t="shared" si="1"/>
        <v>45458</v>
      </c>
      <c r="N21" s="4"/>
      <c r="O21" s="1">
        <f t="shared" si="2"/>
        <v>771610.21669686411</v>
      </c>
      <c r="Q21" s="1">
        <f t="shared" si="3"/>
        <v>34877.13917827289</v>
      </c>
      <c r="R21" s="1">
        <f t="shared" si="4"/>
        <v>12097.310338127056</v>
      </c>
      <c r="S21" s="1"/>
      <c r="T21" s="1">
        <f t="shared" si="7"/>
        <v>46974.449516399945</v>
      </c>
      <c r="V21" s="1"/>
      <c r="W21" s="1">
        <f>PMT(C$9/12,C$8,-C$5*(1-C$6),C$7)</f>
        <v>58566.880768185278</v>
      </c>
      <c r="X21" s="1">
        <f t="shared" si="0"/>
        <v>58566.880768185278</v>
      </c>
    </row>
    <row r="22" spans="2:24" x14ac:dyDescent="0.2">
      <c r="B22" s="15"/>
      <c r="C22" s="15"/>
      <c r="G22" s="3" t="s">
        <v>26</v>
      </c>
      <c r="H22" s="7">
        <f>C5/1.2*0.2</f>
        <v>300000</v>
      </c>
      <c r="I22" s="11">
        <f>X41/1.2*0.2</f>
        <v>381401.28460911172</v>
      </c>
      <c r="J22" s="11">
        <f t="shared" si="9"/>
        <v>-81401.284609111724</v>
      </c>
      <c r="K22" s="7"/>
      <c r="L22">
        <v>18</v>
      </c>
      <c r="M22" s="4">
        <f t="shared" si="1"/>
        <v>45488</v>
      </c>
      <c r="N22" s="4"/>
      <c r="O22" s="1">
        <f t="shared" si="2"/>
        <v>736209.92043091718</v>
      </c>
      <c r="Q22" s="1">
        <f t="shared" si="3"/>
        <v>35400.296265946985</v>
      </c>
      <c r="R22" s="1">
        <f t="shared" si="4"/>
        <v>11574.15325045296</v>
      </c>
      <c r="S22" s="1"/>
      <c r="T22" s="1">
        <f t="shared" si="7"/>
        <v>46974.449516399945</v>
      </c>
      <c r="V22" s="1"/>
      <c r="W22" s="1">
        <f>PMT(C$9/12,C$8,-C$5*(1-C$6),C$7)</f>
        <v>58566.880768185278</v>
      </c>
      <c r="X22" s="1">
        <f t="shared" si="0"/>
        <v>58566.880768185278</v>
      </c>
    </row>
    <row r="23" spans="2:24" x14ac:dyDescent="0.2">
      <c r="B23" s="14"/>
      <c r="C23" s="14"/>
      <c r="G23" s="3" t="s">
        <v>27</v>
      </c>
      <c r="H23" s="7">
        <f>-H22</f>
        <v>-300000</v>
      </c>
      <c r="I23">
        <v>0</v>
      </c>
      <c r="J23" s="11">
        <f t="shared" si="9"/>
        <v>-300000</v>
      </c>
      <c r="K23" s="7"/>
      <c r="L23">
        <v>19</v>
      </c>
      <c r="M23" s="4">
        <f t="shared" si="1"/>
        <v>45519</v>
      </c>
      <c r="N23" s="4"/>
      <c r="O23" s="1">
        <f t="shared" si="2"/>
        <v>700278.61972098099</v>
      </c>
      <c r="Q23" s="1">
        <f t="shared" si="3"/>
        <v>35931.300709936186</v>
      </c>
      <c r="R23" s="1">
        <f t="shared" si="4"/>
        <v>11043.148806463758</v>
      </c>
      <c r="S23" s="1"/>
      <c r="T23" s="1">
        <f t="shared" si="7"/>
        <v>46974.449516399945</v>
      </c>
      <c r="V23" s="1"/>
      <c r="W23" s="1">
        <f>PMT(C$9/12,C$8,-C$5*(1-C$6),C$7)</f>
        <v>58566.880768185278</v>
      </c>
      <c r="X23" s="1">
        <f t="shared" si="0"/>
        <v>58566.880768185278</v>
      </c>
    </row>
    <row r="24" spans="2:24" x14ac:dyDescent="0.2">
      <c r="B24" s="14"/>
      <c r="C24" s="14"/>
      <c r="D24" s="3"/>
      <c r="E24" s="3"/>
      <c r="F24" s="3"/>
      <c r="G24" t="s">
        <v>28</v>
      </c>
      <c r="H24" s="7">
        <f>H14</f>
        <v>-405857.47634575394</v>
      </c>
      <c r="I24">
        <v>0</v>
      </c>
      <c r="J24" s="11">
        <f t="shared" si="9"/>
        <v>-405857.47634575394</v>
      </c>
      <c r="K24" s="7"/>
      <c r="L24">
        <v>20</v>
      </c>
      <c r="M24" s="4">
        <f t="shared" si="1"/>
        <v>45550</v>
      </c>
      <c r="N24" s="4"/>
      <c r="O24" s="1">
        <f t="shared" si="2"/>
        <v>663808.34950039571</v>
      </c>
      <c r="Q24" s="1">
        <f t="shared" si="3"/>
        <v>36470.270220585233</v>
      </c>
      <c r="R24" s="1">
        <f t="shared" si="4"/>
        <v>10504.179295814714</v>
      </c>
      <c r="S24" s="1"/>
      <c r="T24" s="1">
        <f t="shared" si="7"/>
        <v>46974.449516399945</v>
      </c>
      <c r="V24" s="1"/>
      <c r="W24" s="1">
        <f>PMT(C$9/12,C$8,-C$5*(1-C$6),C$7)</f>
        <v>58566.880768185278</v>
      </c>
      <c r="X24" s="1">
        <f t="shared" si="0"/>
        <v>58566.880768185278</v>
      </c>
    </row>
    <row r="25" spans="2:24" x14ac:dyDescent="0.2">
      <c r="D25" s="3"/>
      <c r="E25" s="3"/>
      <c r="F25" s="3"/>
      <c r="G25" t="s">
        <v>31</v>
      </c>
      <c r="H25" s="7">
        <f>-C5-H21-H23</f>
        <v>-1320000</v>
      </c>
      <c r="I25">
        <v>0</v>
      </c>
      <c r="J25" s="11">
        <f t="shared" si="9"/>
        <v>-1320000</v>
      </c>
      <c r="K25" s="7"/>
      <c r="L25">
        <v>21</v>
      </c>
      <c r="M25" s="4">
        <f t="shared" si="1"/>
        <v>45580</v>
      </c>
      <c r="N25" s="4"/>
      <c r="O25" s="1">
        <f t="shared" si="2"/>
        <v>626791.02522650175</v>
      </c>
      <c r="Q25" s="1">
        <f t="shared" si="3"/>
        <v>37017.32427389401</v>
      </c>
      <c r="R25" s="1">
        <f t="shared" si="4"/>
        <v>9957.1252425059356</v>
      </c>
      <c r="S25" s="1"/>
      <c r="T25" s="1">
        <f t="shared" si="7"/>
        <v>46974.449516399945</v>
      </c>
      <c r="V25" s="1"/>
      <c r="W25" s="1">
        <f>PMT(C$9/12,C$8,-C$5*(1-C$6),C$7)</f>
        <v>58566.880768185278</v>
      </c>
      <c r="X25" s="1">
        <f t="shared" si="0"/>
        <v>58566.880768185278</v>
      </c>
    </row>
    <row r="26" spans="2:24" x14ac:dyDescent="0.2">
      <c r="D26" s="3"/>
      <c r="E26" s="3"/>
      <c r="F26" s="3"/>
      <c r="G26" t="s">
        <v>38</v>
      </c>
      <c r="H26" s="7">
        <v>0</v>
      </c>
      <c r="I26" s="11">
        <f>-X41-I21</f>
        <v>-2108407.7076546699</v>
      </c>
      <c r="J26" s="11">
        <f t="shared" si="9"/>
        <v>2108407.7076546699</v>
      </c>
      <c r="K26" s="7"/>
      <c r="L26">
        <v>22</v>
      </c>
      <c r="M26" s="4">
        <f t="shared" si="1"/>
        <v>45611</v>
      </c>
      <c r="N26" s="4"/>
      <c r="O26" s="1">
        <f t="shared" si="2"/>
        <v>589218.44108849927</v>
      </c>
      <c r="Q26" s="1">
        <f t="shared" si="3"/>
        <v>37572.584138002421</v>
      </c>
      <c r="R26" s="1">
        <f t="shared" si="4"/>
        <v>9401.865378397526</v>
      </c>
      <c r="S26" s="1"/>
      <c r="T26" s="1">
        <f t="shared" si="7"/>
        <v>46974.449516399945</v>
      </c>
      <c r="V26" s="1"/>
      <c r="W26" s="1">
        <f>PMT(C$9/12,C$8,-C$5*(1-C$6),C$7)</f>
        <v>58566.880768185278</v>
      </c>
      <c r="X26" s="1">
        <f t="shared" si="0"/>
        <v>58566.880768185278</v>
      </c>
    </row>
    <row r="27" spans="2:24" x14ac:dyDescent="0.2">
      <c r="D27" s="3"/>
      <c r="E27" s="3"/>
      <c r="F27" s="3"/>
      <c r="G27" t="s">
        <v>29</v>
      </c>
      <c r="H27" s="7">
        <f>H17</f>
        <v>381171.49526915082</v>
      </c>
      <c r="I27" s="7">
        <f>I17</f>
        <v>381401.28460911172</v>
      </c>
      <c r="J27" s="11">
        <f t="shared" si="9"/>
        <v>-229.789339960902</v>
      </c>
      <c r="K27" s="7"/>
      <c r="L27">
        <v>23</v>
      </c>
      <c r="M27" s="4">
        <f t="shared" si="1"/>
        <v>45641</v>
      </c>
      <c r="N27" s="4"/>
      <c r="O27" s="1">
        <f t="shared" si="2"/>
        <v>551082.26818842685</v>
      </c>
      <c r="Q27" s="1">
        <f t="shared" si="3"/>
        <v>38136.172900072459</v>
      </c>
      <c r="R27" s="1">
        <f t="shared" si="4"/>
        <v>8838.2766163274882</v>
      </c>
      <c r="S27" s="1"/>
      <c r="T27" s="1">
        <f t="shared" si="7"/>
        <v>46974.449516399945</v>
      </c>
      <c r="V27" s="1"/>
      <c r="W27" s="1">
        <f>PMT(C$9/12,C$8,-C$5*(1-C$6),C$7)</f>
        <v>58566.880768185278</v>
      </c>
      <c r="X27" s="1">
        <f t="shared" si="0"/>
        <v>58566.880768185278</v>
      </c>
    </row>
    <row r="28" spans="2:24" x14ac:dyDescent="0.2">
      <c r="G28" s="5" t="s">
        <v>32</v>
      </c>
      <c r="H28" s="8">
        <f>SUM(H21:H27)</f>
        <v>-1524685.9810766033</v>
      </c>
      <c r="I28" s="8">
        <f>SUM(I21:I27)</f>
        <v>-1525605.1384364464</v>
      </c>
      <c r="J28" s="13">
        <f t="shared" si="9"/>
        <v>919.15735984314233</v>
      </c>
      <c r="K28" s="7"/>
      <c r="L28">
        <v>24</v>
      </c>
      <c r="M28" s="4">
        <f t="shared" si="1"/>
        <v>45672</v>
      </c>
      <c r="N28" s="4"/>
      <c r="O28" s="1">
        <f t="shared" si="2"/>
        <v>512374.05269485328</v>
      </c>
      <c r="Q28" s="1">
        <f t="shared" si="3"/>
        <v>38708.215493573545</v>
      </c>
      <c r="R28" s="1">
        <f t="shared" si="4"/>
        <v>8266.234022826402</v>
      </c>
      <c r="S28" s="1"/>
      <c r="T28" s="1">
        <f t="shared" si="7"/>
        <v>46974.449516399945</v>
      </c>
      <c r="V28" s="1"/>
      <c r="W28" s="1">
        <f>PMT(C$9/12,C$8,-C$5*(1-C$6),C$7)</f>
        <v>58566.880768185278</v>
      </c>
      <c r="X28" s="1">
        <f t="shared" si="0"/>
        <v>58566.880768185278</v>
      </c>
    </row>
    <row r="29" spans="2:24" x14ac:dyDescent="0.2">
      <c r="J29" s="10"/>
      <c r="L29">
        <v>25</v>
      </c>
      <c r="M29" s="4">
        <f t="shared" si="1"/>
        <v>45703</v>
      </c>
      <c r="N29" s="4"/>
      <c r="O29" s="1">
        <f t="shared" si="2"/>
        <v>473085.21396887611</v>
      </c>
      <c r="Q29" s="1">
        <f t="shared" si="3"/>
        <v>39288.838725977148</v>
      </c>
      <c r="R29" s="1">
        <f t="shared" si="4"/>
        <v>7685.6107904227983</v>
      </c>
      <c r="S29" s="1"/>
      <c r="T29" s="1">
        <f t="shared" si="7"/>
        <v>46974.449516399945</v>
      </c>
      <c r="V29" s="1"/>
      <c r="W29" s="1">
        <f>PMT(C$9/12,C$8,-C$5*(1-C$6),C$7)</f>
        <v>58566.880768185278</v>
      </c>
      <c r="X29" s="1">
        <f t="shared" si="0"/>
        <v>58566.880768185278</v>
      </c>
    </row>
    <row r="30" spans="2:24" x14ac:dyDescent="0.2">
      <c r="J30" s="10"/>
      <c r="L30">
        <v>26</v>
      </c>
      <c r="M30" s="4">
        <f t="shared" si="1"/>
        <v>45731</v>
      </c>
      <c r="N30" s="4"/>
      <c r="O30" s="1">
        <f t="shared" si="2"/>
        <v>433207.04266200931</v>
      </c>
      <c r="Q30" s="1">
        <f t="shared" si="3"/>
        <v>39878.171306866803</v>
      </c>
      <c r="R30" s="1">
        <f t="shared" si="4"/>
        <v>7096.2782095331413</v>
      </c>
      <c r="S30" s="1"/>
      <c r="T30" s="1">
        <f t="shared" si="7"/>
        <v>46974.449516399945</v>
      </c>
      <c r="V30" s="1"/>
      <c r="W30" s="1">
        <f>PMT(C$9/12,C$8,-C$5*(1-C$6),C$7)</f>
        <v>58566.880768185278</v>
      </c>
      <c r="X30" s="1">
        <f t="shared" si="0"/>
        <v>58566.880768185278</v>
      </c>
    </row>
    <row r="31" spans="2:24" x14ac:dyDescent="0.2">
      <c r="G31" s="5" t="s">
        <v>33</v>
      </c>
      <c r="J31" s="10"/>
      <c r="L31">
        <v>27</v>
      </c>
      <c r="M31" s="4">
        <f t="shared" si="1"/>
        <v>45762</v>
      </c>
      <c r="N31" s="4"/>
      <c r="O31" s="1">
        <f t="shared" si="2"/>
        <v>392730.69878553948</v>
      </c>
      <c r="Q31" s="1">
        <f t="shared" si="3"/>
        <v>40476.343876469808</v>
      </c>
      <c r="R31" s="1">
        <f t="shared" si="4"/>
        <v>6498.1056399301388</v>
      </c>
      <c r="S31" s="1"/>
      <c r="T31" s="1">
        <f t="shared" si="7"/>
        <v>46974.449516399945</v>
      </c>
      <c r="V31" s="1"/>
      <c r="W31" s="1">
        <f>PMT(C$9/12,C$8,-C$5*(1-C$6),C$7)</f>
        <v>58566.880768185278</v>
      </c>
      <c r="X31" s="1">
        <f t="shared" si="0"/>
        <v>58566.880768185278</v>
      </c>
    </row>
    <row r="32" spans="2:24" x14ac:dyDescent="0.2">
      <c r="G32" t="s">
        <v>35</v>
      </c>
      <c r="H32">
        <f>C5/1.2+H13</f>
        <v>0</v>
      </c>
      <c r="I32">
        <v>0</v>
      </c>
      <c r="J32" s="11">
        <f t="shared" ref="J32:J34" si="10">H32-I32</f>
        <v>0</v>
      </c>
      <c r="K32" s="7"/>
      <c r="L32">
        <v>28</v>
      </c>
      <c r="M32" s="4">
        <f t="shared" si="1"/>
        <v>45792</v>
      </c>
      <c r="N32" s="4"/>
      <c r="O32" s="1">
        <f t="shared" si="2"/>
        <v>351647.20975092263</v>
      </c>
      <c r="Q32" s="1">
        <f t="shared" si="3"/>
        <v>41083.489034616854</v>
      </c>
      <c r="R32" s="1">
        <f t="shared" si="4"/>
        <v>5890.9604817830923</v>
      </c>
      <c r="S32" s="1"/>
      <c r="T32" s="1">
        <f t="shared" si="7"/>
        <v>46974.449516399945</v>
      </c>
      <c r="V32" s="1"/>
      <c r="W32" s="1">
        <f>PMT(C$9/12,C$8,-C$5*(1-C$6),C$7)</f>
        <v>58566.880768185278</v>
      </c>
      <c r="X32" s="1">
        <f t="shared" si="0"/>
        <v>58566.880768185278</v>
      </c>
    </row>
    <row r="33" spans="7:24" x14ac:dyDescent="0.2">
      <c r="G33" t="s">
        <v>18</v>
      </c>
      <c r="H33" s="7">
        <f>H5+H28</f>
        <v>-1344685.9810766033</v>
      </c>
      <c r="I33" s="7">
        <f>I5+I28</f>
        <v>-1345605.1384364464</v>
      </c>
      <c r="J33" s="11">
        <f t="shared" si="10"/>
        <v>919.15735984314233</v>
      </c>
      <c r="K33" s="7"/>
      <c r="L33">
        <v>29</v>
      </c>
      <c r="M33" s="4">
        <f t="shared" si="1"/>
        <v>45823</v>
      </c>
      <c r="N33" s="4"/>
      <c r="O33" s="1">
        <f t="shared" si="2"/>
        <v>309947.46838078654</v>
      </c>
      <c r="Q33" s="1">
        <f t="shared" si="3"/>
        <v>41699.741370136107</v>
      </c>
      <c r="R33" s="1">
        <f t="shared" si="4"/>
        <v>5274.7081462638389</v>
      </c>
      <c r="S33" s="1"/>
      <c r="T33" s="1">
        <f t="shared" si="7"/>
        <v>46974.449516399945</v>
      </c>
      <c r="V33" s="1"/>
      <c r="W33" s="1">
        <f>PMT(C$9/12,C$8,-C$5*(1-C$6),C$7)</f>
        <v>58566.880768185278</v>
      </c>
      <c r="X33" s="1">
        <f t="shared" si="0"/>
        <v>58566.880768185278</v>
      </c>
    </row>
    <row r="34" spans="7:24" x14ac:dyDescent="0.2">
      <c r="G34" s="5" t="s">
        <v>19</v>
      </c>
      <c r="H34" s="8">
        <f>SUM(H33:H33)</f>
        <v>-1344685.9810766033</v>
      </c>
      <c r="I34" s="8">
        <f>SUM(I33:I33)</f>
        <v>-1345605.1384364464</v>
      </c>
      <c r="J34" s="13">
        <f t="shared" si="10"/>
        <v>919.15735984314233</v>
      </c>
      <c r="K34" s="7"/>
      <c r="L34">
        <v>30</v>
      </c>
      <c r="M34" s="4">
        <f t="shared" si="1"/>
        <v>45853</v>
      </c>
      <c r="N34" s="4"/>
      <c r="O34" s="1">
        <f t="shared" si="2"/>
        <v>267622.23089009838</v>
      </c>
      <c r="Q34" s="1">
        <f t="shared" si="3"/>
        <v>42325.237490688145</v>
      </c>
      <c r="R34" s="1">
        <f t="shared" si="4"/>
        <v>4649.2120257117977</v>
      </c>
      <c r="S34" s="1"/>
      <c r="T34" s="1">
        <f t="shared" si="7"/>
        <v>46974.449516399945</v>
      </c>
      <c r="V34" s="1"/>
      <c r="W34" s="1">
        <f>PMT(C$9/12,C$8,-C$5*(1-C$6),C$7)</f>
        <v>58566.880768185278</v>
      </c>
      <c r="X34" s="1">
        <f t="shared" si="0"/>
        <v>58566.880768185278</v>
      </c>
    </row>
    <row r="35" spans="7:24" x14ac:dyDescent="0.2">
      <c r="J35" s="10"/>
      <c r="L35">
        <v>31</v>
      </c>
      <c r="M35" s="4">
        <f t="shared" si="1"/>
        <v>45884</v>
      </c>
      <c r="N35" s="4"/>
      <c r="O35" s="1">
        <f t="shared" si="2"/>
        <v>224662.11483704991</v>
      </c>
      <c r="Q35" s="1">
        <f t="shared" si="3"/>
        <v>42960.11605304847</v>
      </c>
      <c r="R35" s="1">
        <f t="shared" si="4"/>
        <v>4014.3334633514755</v>
      </c>
      <c r="S35" s="1"/>
      <c r="T35" s="1">
        <f t="shared" si="7"/>
        <v>46974.449516399945</v>
      </c>
      <c r="V35" s="1"/>
      <c r="W35" s="1">
        <f>PMT(C$9/12,C$8,-C$5*(1-C$6),C$7)</f>
        <v>58566.880768185278</v>
      </c>
      <c r="X35" s="1">
        <f t="shared" si="0"/>
        <v>58566.880768185278</v>
      </c>
    </row>
    <row r="36" spans="7:24" x14ac:dyDescent="0.2">
      <c r="G36" t="s">
        <v>20</v>
      </c>
      <c r="H36" s="7">
        <v>180000</v>
      </c>
      <c r="I36" s="7">
        <v>180000</v>
      </c>
      <c r="J36" s="11">
        <f t="shared" ref="J36:J39" si="11">H36-I36</f>
        <v>0</v>
      </c>
      <c r="K36" s="7"/>
      <c r="L36">
        <v>32</v>
      </c>
      <c r="M36" s="4">
        <f t="shared" si="1"/>
        <v>45915</v>
      </c>
      <c r="N36" s="4"/>
      <c r="O36" s="1">
        <f t="shared" si="2"/>
        <v>181057.59704320572</v>
      </c>
      <c r="Q36" s="1">
        <f t="shared" si="3"/>
        <v>43604.517793844199</v>
      </c>
      <c r="R36" s="1">
        <f t="shared" si="4"/>
        <v>3369.9317225557484</v>
      </c>
      <c r="S36" s="1"/>
      <c r="T36" s="1">
        <f t="shared" si="7"/>
        <v>46974.449516399945</v>
      </c>
      <c r="V36" s="1"/>
      <c r="W36" s="1">
        <f>PMT(C$9/12,C$8,-C$5*(1-C$6),C$7)</f>
        <v>58566.880768185278</v>
      </c>
      <c r="X36" s="1">
        <f t="shared" si="0"/>
        <v>58566.880768185278</v>
      </c>
    </row>
    <row r="37" spans="7:24" x14ac:dyDescent="0.2">
      <c r="G37" t="s">
        <v>34</v>
      </c>
      <c r="H37" s="7">
        <f>H18</f>
        <v>-1524685.9810766033</v>
      </c>
      <c r="I37" s="7">
        <f>I18</f>
        <v>-1525605.1384364467</v>
      </c>
      <c r="J37" s="11">
        <f t="shared" si="11"/>
        <v>919.15735984337516</v>
      </c>
      <c r="K37" s="7"/>
      <c r="L37">
        <v>33</v>
      </c>
      <c r="M37" s="4">
        <f t="shared" si="1"/>
        <v>45945</v>
      </c>
      <c r="N37" s="4"/>
      <c r="O37" s="1">
        <f t="shared" si="2"/>
        <v>136799.01148245385</v>
      </c>
      <c r="Q37" s="1">
        <f t="shared" si="3"/>
        <v>44258.585560751861</v>
      </c>
      <c r="R37" s="1">
        <f t="shared" si="4"/>
        <v>2715.8639556480857</v>
      </c>
      <c r="S37" s="1"/>
      <c r="T37" s="1">
        <f t="shared" si="7"/>
        <v>46974.449516399945</v>
      </c>
      <c r="V37" s="1"/>
      <c r="W37" s="1">
        <f>PMT(C$9/12,C$8,-C$5*(1-C$6),C$7)</f>
        <v>58566.880768185278</v>
      </c>
      <c r="X37" s="1">
        <f t="shared" si="0"/>
        <v>58566.880768185278</v>
      </c>
    </row>
    <row r="38" spans="7:24" x14ac:dyDescent="0.2">
      <c r="G38" t="s">
        <v>39</v>
      </c>
      <c r="H38" s="1">
        <f>C5+H21+H23+H25</f>
        <v>0</v>
      </c>
      <c r="I38">
        <v>0</v>
      </c>
      <c r="J38" s="11">
        <f t="shared" si="11"/>
        <v>0</v>
      </c>
      <c r="K38" s="7"/>
      <c r="L38">
        <v>34</v>
      </c>
      <c r="M38" s="4">
        <f t="shared" si="1"/>
        <v>45976</v>
      </c>
      <c r="N38" s="4"/>
      <c r="O38" s="1">
        <f t="shared" si="2"/>
        <v>91876.547138290713</v>
      </c>
      <c r="Q38" s="1">
        <f t="shared" si="3"/>
        <v>44922.464344163134</v>
      </c>
      <c r="R38" s="1">
        <f t="shared" si="4"/>
        <v>2051.9851722368076</v>
      </c>
      <c r="S38" s="1"/>
      <c r="T38" s="1">
        <f t="shared" si="7"/>
        <v>46974.449516399945</v>
      </c>
      <c r="V38" s="1"/>
      <c r="W38" s="1">
        <f>PMT(C$9/12,C$8,-C$5*(1-C$6),C$7)</f>
        <v>58566.880768185278</v>
      </c>
      <c r="X38" s="1">
        <f t="shared" si="0"/>
        <v>58566.880768185278</v>
      </c>
    </row>
    <row r="39" spans="7:24" x14ac:dyDescent="0.2">
      <c r="G39" s="5" t="s">
        <v>21</v>
      </c>
      <c r="H39" s="8">
        <f>SUM(H36:H37)</f>
        <v>-1344685.9810766033</v>
      </c>
      <c r="I39" s="8">
        <f>SUM(I36:I37)</f>
        <v>-1345605.1384364467</v>
      </c>
      <c r="J39" s="13">
        <f t="shared" si="11"/>
        <v>919.15735984337516</v>
      </c>
      <c r="K39" s="7"/>
      <c r="L39">
        <v>35</v>
      </c>
      <c r="M39" s="4">
        <f t="shared" si="1"/>
        <v>46006</v>
      </c>
      <c r="N39" s="4"/>
      <c r="O39" s="1">
        <f t="shared" si="2"/>
        <v>46280.245828965126</v>
      </c>
      <c r="Q39" s="1">
        <f t="shared" si="3"/>
        <v>45596.301309325587</v>
      </c>
      <c r="R39" s="1">
        <f t="shared" si="4"/>
        <v>1378.1482070743607</v>
      </c>
      <c r="S39" s="1"/>
      <c r="T39" s="1">
        <f t="shared" si="7"/>
        <v>46974.449516399945</v>
      </c>
      <c r="V39" s="1"/>
      <c r="W39" s="1">
        <f>PMT(C$9/12,C$8,-C$5*(1-C$6),C$7)</f>
        <v>58566.880768185278</v>
      </c>
      <c r="X39" s="1">
        <f t="shared" si="0"/>
        <v>58566.880768185278</v>
      </c>
    </row>
    <row r="40" spans="7:24" x14ac:dyDescent="0.2">
      <c r="L40">
        <v>36</v>
      </c>
      <c r="M40" s="4">
        <f t="shared" si="1"/>
        <v>46037</v>
      </c>
      <c r="N40" s="4"/>
      <c r="O40" s="1">
        <f t="shared" si="2"/>
        <v>-3.4197000786662102E-10</v>
      </c>
      <c r="Q40" s="1">
        <f t="shared" si="3"/>
        <v>46280.245828965468</v>
      </c>
      <c r="R40" s="1">
        <f t="shared" si="4"/>
        <v>694.20368743447682</v>
      </c>
      <c r="S40" s="1"/>
      <c r="T40" s="1">
        <f t="shared" si="7"/>
        <v>46974.449516399945</v>
      </c>
      <c r="V40" s="1"/>
      <c r="W40" s="1">
        <f>PMT(C$9/12,C$8,-C$5*(1-C$6),C$7)</f>
        <v>58566.880768185278</v>
      </c>
      <c r="X40" s="1">
        <f t="shared" si="0"/>
        <v>58566.880768185278</v>
      </c>
    </row>
    <row r="41" spans="7:24" x14ac:dyDescent="0.2">
      <c r="R41" s="1">
        <f>SUM(R4:R40)</f>
        <v>405857.47634575394</v>
      </c>
      <c r="T41" s="1">
        <f>SUM(T4:T40)</f>
        <v>2205857.4763457552</v>
      </c>
      <c r="X41" s="1">
        <f>SUM(X4:X40)</f>
        <v>2288407.7076546699</v>
      </c>
    </row>
  </sheetData>
  <mergeCells count="3">
    <mergeCell ref="V2:X2"/>
    <mergeCell ref="O2:T2"/>
    <mergeCell ref="B17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3D4F-E688-7F42-8B8F-0EC166AAC227}">
  <dimension ref="B2:X41"/>
  <sheetViews>
    <sheetView topLeftCell="A5" workbookViewId="0">
      <selection activeCell="B23" sqref="B23"/>
    </sheetView>
  </sheetViews>
  <sheetFormatPr baseColWidth="10" defaultRowHeight="16" x14ac:dyDescent="0.2"/>
  <cols>
    <col min="1" max="1" width="3.1640625" customWidth="1"/>
    <col min="2" max="2" width="36.1640625" customWidth="1"/>
    <col min="3" max="3" width="11.6640625" customWidth="1"/>
    <col min="4" max="6" width="5.5" customWidth="1"/>
    <col min="7" max="7" width="23.1640625" customWidth="1"/>
    <col min="8" max="9" width="12" customWidth="1"/>
    <col min="10" max="10" width="14.6640625" customWidth="1"/>
    <col min="11" max="11" width="8.83203125" customWidth="1"/>
    <col min="12" max="12" width="5.5" customWidth="1"/>
    <col min="14" max="14" width="3.5" customWidth="1"/>
    <col min="15" max="15" width="17.5" customWidth="1"/>
    <col min="17" max="18" width="12" bestFit="1" customWidth="1"/>
    <col min="19" max="19" width="11.5" customWidth="1"/>
    <col min="20" max="20" width="12.6640625" bestFit="1" customWidth="1"/>
    <col min="22" max="22" width="15" customWidth="1"/>
    <col min="24" max="24" width="12" bestFit="1" customWidth="1"/>
    <col min="26" max="26" width="11.83203125" customWidth="1"/>
    <col min="27" max="27" width="12" bestFit="1" customWidth="1"/>
    <col min="29" max="29" width="14.5" customWidth="1"/>
    <col min="30" max="30" width="12.5" customWidth="1"/>
    <col min="33" max="33" width="12.1640625" customWidth="1"/>
  </cols>
  <sheetData>
    <row r="2" spans="2:24" x14ac:dyDescent="0.2">
      <c r="H2" s="9" t="s">
        <v>8</v>
      </c>
      <c r="I2" s="9" t="s">
        <v>13</v>
      </c>
      <c r="J2" s="10" t="s">
        <v>14</v>
      </c>
      <c r="O2" s="12" t="s">
        <v>8</v>
      </c>
      <c r="P2" s="12"/>
      <c r="Q2" s="12"/>
      <c r="R2" s="12"/>
      <c r="S2" s="12"/>
      <c r="T2" s="12"/>
      <c r="V2" s="12" t="s">
        <v>13</v>
      </c>
      <c r="W2" s="12"/>
      <c r="X2" s="12"/>
    </row>
    <row r="3" spans="2:24" x14ac:dyDescent="0.2">
      <c r="B3" s="5" t="s">
        <v>2</v>
      </c>
      <c r="G3" s="5" t="s">
        <v>17</v>
      </c>
      <c r="J3" s="10"/>
      <c r="M3" t="s">
        <v>9</v>
      </c>
      <c r="O3" t="s">
        <v>10</v>
      </c>
      <c r="P3" t="s">
        <v>42</v>
      </c>
      <c r="Q3" t="s">
        <v>41</v>
      </c>
      <c r="R3" t="s">
        <v>11</v>
      </c>
      <c r="S3" t="s">
        <v>40</v>
      </c>
      <c r="T3" t="s">
        <v>12</v>
      </c>
      <c r="V3" t="s">
        <v>0</v>
      </c>
      <c r="W3" t="s">
        <v>4</v>
      </c>
      <c r="X3" t="s">
        <v>12</v>
      </c>
    </row>
    <row r="4" spans="2:24" x14ac:dyDescent="0.2">
      <c r="J4" s="10"/>
      <c r="L4">
        <v>0</v>
      </c>
      <c r="M4" s="4">
        <f>C10</f>
        <v>44941</v>
      </c>
      <c r="N4" s="4"/>
      <c r="O4" s="1">
        <f>C5-S4</f>
        <v>1620000</v>
      </c>
      <c r="S4" s="1">
        <f>C5*C6</f>
        <v>180000</v>
      </c>
      <c r="T4" s="1">
        <f>SUM(P4:S4)</f>
        <v>180000</v>
      </c>
      <c r="V4" s="1">
        <f>C5*C6</f>
        <v>180000</v>
      </c>
      <c r="X4" s="1">
        <f>SUM(V4:W4)</f>
        <v>180000</v>
      </c>
    </row>
    <row r="5" spans="2:24" x14ac:dyDescent="0.2">
      <c r="B5" t="s">
        <v>5</v>
      </c>
      <c r="C5" s="1">
        <v>1800000</v>
      </c>
      <c r="G5" t="s">
        <v>18</v>
      </c>
      <c r="H5" s="7">
        <v>180000</v>
      </c>
      <c r="I5" s="7">
        <f>H5</f>
        <v>180000</v>
      </c>
      <c r="J5" s="11">
        <f>H5-I5</f>
        <v>0</v>
      </c>
      <c r="K5" s="7"/>
      <c r="L5">
        <v>1</v>
      </c>
      <c r="M5" s="4">
        <f>EDATE(M$4,L5)</f>
        <v>44972</v>
      </c>
      <c r="N5" s="4"/>
      <c r="O5" s="1">
        <f>O4-P5-Q5</f>
        <v>1585733.1192318148</v>
      </c>
      <c r="P5" s="1"/>
      <c r="Q5" s="1">
        <f>T5-R5</f>
        <v>34266.880768185278</v>
      </c>
      <c r="R5" s="1">
        <f>O4*C$9/12</f>
        <v>24300</v>
      </c>
      <c r="S5" s="1"/>
      <c r="T5" s="1">
        <f>PMT(C$9/12,C$8,-O$4,C$7)</f>
        <v>58566.880768185278</v>
      </c>
      <c r="V5" s="1"/>
      <c r="W5" s="1">
        <f>PMT(C$9/12,C$8,-C$5*(1-C$6),C$7)</f>
        <v>58566.880768185278</v>
      </c>
      <c r="X5" s="1">
        <f t="shared" ref="X5:X40" si="0">SUM(V5:W5)</f>
        <v>58566.880768185278</v>
      </c>
    </row>
    <row r="6" spans="2:24" x14ac:dyDescent="0.2">
      <c r="B6" t="s">
        <v>0</v>
      </c>
      <c r="C6" s="2">
        <v>0.1</v>
      </c>
      <c r="G6" s="5" t="s">
        <v>19</v>
      </c>
      <c r="H6" s="8">
        <f>SUM(H5:H5)</f>
        <v>180000</v>
      </c>
      <c r="I6" s="8">
        <f>SUM(I5:I5)</f>
        <v>180000</v>
      </c>
      <c r="J6" s="11">
        <f>H6-I6</f>
        <v>0</v>
      </c>
      <c r="K6" s="7"/>
      <c r="L6">
        <v>2</v>
      </c>
      <c r="M6" s="4">
        <f t="shared" ref="M6:M40" si="1">EDATE(M$4,L6)</f>
        <v>45000</v>
      </c>
      <c r="N6" s="4"/>
      <c r="O6" s="1">
        <f t="shared" ref="O6:O40" si="2">O5-P6-Q6</f>
        <v>1550952.2352521068</v>
      </c>
      <c r="P6" s="1"/>
      <c r="Q6" s="1">
        <f t="shared" ref="Q6:Q40" si="3">T6-R6</f>
        <v>34780.883979708058</v>
      </c>
      <c r="R6" s="1">
        <f t="shared" ref="R6:R40" si="4">O5*C$9/12</f>
        <v>23785.99678847722</v>
      </c>
      <c r="S6" s="1"/>
      <c r="T6" s="1">
        <f t="shared" ref="T6:T7" si="5">PMT(C$9/12,C$8,-O$4,C$7)</f>
        <v>58566.880768185278</v>
      </c>
      <c r="V6" s="1"/>
      <c r="W6" s="1">
        <f>PMT(C$9/12,C$8,-C$5*(1-C$6),C$7)</f>
        <v>58566.880768185278</v>
      </c>
      <c r="X6" s="1">
        <f t="shared" si="0"/>
        <v>58566.880768185278</v>
      </c>
    </row>
    <row r="7" spans="2:24" x14ac:dyDescent="0.2">
      <c r="B7" t="s">
        <v>6</v>
      </c>
      <c r="C7" s="1">
        <v>0</v>
      </c>
      <c r="J7" s="10"/>
      <c r="L7">
        <v>3</v>
      </c>
      <c r="M7" s="4">
        <f t="shared" si="1"/>
        <v>45031</v>
      </c>
      <c r="N7" s="4"/>
      <c r="O7" s="1">
        <f t="shared" si="2"/>
        <v>1515649.638012703</v>
      </c>
      <c r="P7" s="1">
        <v>0</v>
      </c>
      <c r="Q7" s="1">
        <f>T7-R7-P7</f>
        <v>35302.59723940368</v>
      </c>
      <c r="R7" s="1">
        <f t="shared" si="4"/>
        <v>23264.283528781601</v>
      </c>
      <c r="S7" s="1"/>
      <c r="T7" s="1">
        <f>PMT(C$9/12,C$8,-O$4,C$7)+P7</f>
        <v>58566.880768185278</v>
      </c>
      <c r="V7" s="1"/>
      <c r="W7" s="1">
        <f>PMT(C$9/12,C$8,-C$5*(1-C$6),C$7)</f>
        <v>58566.880768185278</v>
      </c>
      <c r="X7" s="1">
        <f t="shared" si="0"/>
        <v>58566.880768185278</v>
      </c>
    </row>
    <row r="8" spans="2:24" x14ac:dyDescent="0.2">
      <c r="B8" t="s">
        <v>1</v>
      </c>
      <c r="C8">
        <v>36</v>
      </c>
      <c r="G8" t="s">
        <v>20</v>
      </c>
      <c r="H8" s="7">
        <v>180000</v>
      </c>
      <c r="I8" s="7">
        <f>H8</f>
        <v>180000</v>
      </c>
      <c r="J8" s="11">
        <f t="shared" ref="J8:J9" si="6">H8-I8</f>
        <v>0</v>
      </c>
      <c r="K8" s="7"/>
      <c r="L8">
        <v>4</v>
      </c>
      <c r="M8" s="4">
        <f t="shared" si="1"/>
        <v>45061</v>
      </c>
      <c r="N8" s="4"/>
      <c r="O8" s="1">
        <f t="shared" si="2"/>
        <v>1479817.5018147083</v>
      </c>
      <c r="Q8" s="1">
        <f t="shared" si="3"/>
        <v>35832.13619799474</v>
      </c>
      <c r="R8" s="1">
        <f t="shared" si="4"/>
        <v>22734.744570190542</v>
      </c>
      <c r="S8" s="1"/>
      <c r="T8" s="1">
        <f>PMT(C$9/12,C$8-3,-O$7,C$7)</f>
        <v>58566.880768185278</v>
      </c>
      <c r="V8" s="1"/>
      <c r="W8" s="1">
        <f>PMT(C$9/12,C$8,-C$5*(1-C$6),C$7)</f>
        <v>58566.880768185278</v>
      </c>
      <c r="X8" s="1">
        <f t="shared" si="0"/>
        <v>58566.880768185278</v>
      </c>
    </row>
    <row r="9" spans="2:24" x14ac:dyDescent="0.2">
      <c r="B9" t="s">
        <v>7</v>
      </c>
      <c r="C9" s="6">
        <v>0.18</v>
      </c>
      <c r="G9" s="5" t="s">
        <v>21</v>
      </c>
      <c r="H9" s="8">
        <f>SUM(H8:H8)</f>
        <v>180000</v>
      </c>
      <c r="I9" s="8">
        <f>SUM(I8:I8)</f>
        <v>180000</v>
      </c>
      <c r="J9" s="11">
        <f t="shared" si="6"/>
        <v>0</v>
      </c>
      <c r="K9" s="7"/>
      <c r="L9">
        <v>5</v>
      </c>
      <c r="M9" s="4">
        <f t="shared" si="1"/>
        <v>45092</v>
      </c>
      <c r="N9" s="4"/>
      <c r="O9" s="1">
        <f t="shared" si="2"/>
        <v>1443447.8835737437</v>
      </c>
      <c r="Q9" s="1">
        <f t="shared" si="3"/>
        <v>36369.618240964657</v>
      </c>
      <c r="R9" s="1">
        <f t="shared" si="4"/>
        <v>22197.262527220624</v>
      </c>
      <c r="S9" s="1"/>
      <c r="T9" s="1">
        <f t="shared" ref="T9:T40" si="7">PMT(C$9/12,C$8-3,-O$7,C$7)</f>
        <v>58566.880768185278</v>
      </c>
      <c r="V9" s="1"/>
      <c r="W9" s="1">
        <f>PMT(C$9/12,C$8,-C$5*(1-C$6),C$7)</f>
        <v>58566.880768185278</v>
      </c>
      <c r="X9" s="1">
        <f t="shared" si="0"/>
        <v>58566.880768185278</v>
      </c>
    </row>
    <row r="10" spans="2:24" x14ac:dyDescent="0.2">
      <c r="B10" t="s">
        <v>3</v>
      </c>
      <c r="C10" s="4">
        <v>44941</v>
      </c>
      <c r="J10" s="10"/>
      <c r="L10">
        <v>6</v>
      </c>
      <c r="M10" s="4">
        <f t="shared" si="1"/>
        <v>45122</v>
      </c>
      <c r="N10" s="4"/>
      <c r="O10" s="1">
        <f t="shared" si="2"/>
        <v>1406532.7210591647</v>
      </c>
      <c r="Q10" s="1">
        <f t="shared" si="3"/>
        <v>36915.162514579119</v>
      </c>
      <c r="R10" s="1">
        <f t="shared" si="4"/>
        <v>21651.718253606155</v>
      </c>
      <c r="S10" s="1"/>
      <c r="T10" s="1">
        <f t="shared" si="7"/>
        <v>58566.880768185278</v>
      </c>
      <c r="V10" s="1"/>
      <c r="W10" s="1">
        <f>PMT(C$9/12,C$8,-C$5*(1-C$6),C$7)</f>
        <v>58566.880768185278</v>
      </c>
      <c r="X10" s="1">
        <f t="shared" si="0"/>
        <v>58566.880768185278</v>
      </c>
    </row>
    <row r="11" spans="2:24" x14ac:dyDescent="0.2">
      <c r="G11" s="5" t="s">
        <v>36</v>
      </c>
      <c r="J11" s="10"/>
      <c r="L11">
        <v>7</v>
      </c>
      <c r="M11" s="4">
        <f t="shared" si="1"/>
        <v>45153</v>
      </c>
      <c r="N11" s="4"/>
      <c r="O11" s="1">
        <f t="shared" si="2"/>
        <v>1369063.8311068669</v>
      </c>
      <c r="Q11" s="1">
        <f t="shared" si="3"/>
        <v>37468.889952297803</v>
      </c>
      <c r="R11" s="1">
        <f t="shared" si="4"/>
        <v>21097.990815887471</v>
      </c>
      <c r="S11" s="1"/>
      <c r="T11" s="1">
        <f t="shared" si="7"/>
        <v>58566.880768185278</v>
      </c>
      <c r="V11" s="1"/>
      <c r="W11" s="1">
        <f>PMT(C$9/12,C$8,-C$5*(1-C$6),C$7)</f>
        <v>58566.880768185278</v>
      </c>
      <c r="X11" s="1">
        <f t="shared" si="0"/>
        <v>58566.880768185278</v>
      </c>
    </row>
    <row r="12" spans="2:24" x14ac:dyDescent="0.2">
      <c r="B12" t="s">
        <v>44</v>
      </c>
      <c r="C12" s="7">
        <f>-J22</f>
        <v>0</v>
      </c>
      <c r="J12" s="10"/>
      <c r="L12">
        <v>8</v>
      </c>
      <c r="M12" s="4">
        <f t="shared" si="1"/>
        <v>45184</v>
      </c>
      <c r="N12" s="4"/>
      <c r="O12" s="1">
        <f t="shared" si="2"/>
        <v>1331032.9078052847</v>
      </c>
      <c r="Q12" s="1">
        <f t="shared" si="3"/>
        <v>38030.923301582268</v>
      </c>
      <c r="R12" s="1">
        <f t="shared" si="4"/>
        <v>20535.957466603006</v>
      </c>
      <c r="S12" s="1"/>
      <c r="T12" s="1">
        <f t="shared" si="7"/>
        <v>58566.880768185278</v>
      </c>
      <c r="V12" s="1"/>
      <c r="W12" s="1">
        <f>PMT(C$9/12,C$8,-C$5*(1-C$6),C$7)</f>
        <v>58566.880768185278</v>
      </c>
      <c r="X12" s="1">
        <f t="shared" si="0"/>
        <v>58566.880768185278</v>
      </c>
    </row>
    <row r="13" spans="2:24" x14ac:dyDescent="0.2">
      <c r="B13" t="s">
        <v>45</v>
      </c>
      <c r="C13" s="7">
        <f>T41-X41</f>
        <v>0</v>
      </c>
      <c r="G13" t="s">
        <v>16</v>
      </c>
      <c r="H13" s="7">
        <f>-C5</f>
        <v>-1800000</v>
      </c>
      <c r="I13">
        <v>0</v>
      </c>
      <c r="J13" s="11">
        <f t="shared" ref="J13:J17" si="8">H13-I13</f>
        <v>-1800000</v>
      </c>
      <c r="K13" s="7"/>
      <c r="L13">
        <v>9</v>
      </c>
      <c r="M13" s="4">
        <f t="shared" si="1"/>
        <v>45214</v>
      </c>
      <c r="N13" s="4"/>
      <c r="O13" s="1">
        <f t="shared" si="2"/>
        <v>1292431.5206541787</v>
      </c>
      <c r="Q13" s="1">
        <f t="shared" si="3"/>
        <v>38601.387151106013</v>
      </c>
      <c r="R13" s="1">
        <f t="shared" si="4"/>
        <v>19965.493617079268</v>
      </c>
      <c r="S13" s="1"/>
      <c r="T13" s="1">
        <f t="shared" si="7"/>
        <v>58566.880768185278</v>
      </c>
      <c r="V13" s="1"/>
      <c r="W13" s="1">
        <f>PMT(C$9/12,C$8,-C$5*(1-C$6),C$7)</f>
        <v>58566.880768185278</v>
      </c>
      <c r="X13" s="1">
        <f t="shared" si="0"/>
        <v>58566.880768185278</v>
      </c>
    </row>
    <row r="14" spans="2:24" x14ac:dyDescent="0.2">
      <c r="B14" t="s">
        <v>46</v>
      </c>
      <c r="C14" s="7">
        <f>-J17</f>
        <v>0</v>
      </c>
      <c r="G14" t="s">
        <v>22</v>
      </c>
      <c r="H14" s="7">
        <f>-R41</f>
        <v>-488407.70765466982</v>
      </c>
      <c r="I14">
        <v>0</v>
      </c>
      <c r="J14" s="11">
        <f t="shared" si="8"/>
        <v>-488407.70765466982</v>
      </c>
      <c r="K14" s="7"/>
      <c r="L14">
        <v>10</v>
      </c>
      <c r="M14" s="4">
        <f t="shared" si="1"/>
        <v>45245</v>
      </c>
      <c r="N14" s="4"/>
      <c r="O14" s="1">
        <f t="shared" si="2"/>
        <v>1253251.1126958062</v>
      </c>
      <c r="Q14" s="1">
        <f t="shared" si="3"/>
        <v>39180.407958372598</v>
      </c>
      <c r="R14" s="1">
        <f t="shared" si="4"/>
        <v>19386.47280981268</v>
      </c>
      <c r="S14" s="1"/>
      <c r="T14" s="1">
        <f t="shared" si="7"/>
        <v>58566.880768185278</v>
      </c>
      <c r="V14" s="1"/>
      <c r="W14" s="1">
        <f>PMT(C$9/12,C$8,-C$5*(1-C$6),C$7)</f>
        <v>58566.880768185278</v>
      </c>
      <c r="X14" s="1">
        <f t="shared" si="0"/>
        <v>58566.880768185278</v>
      </c>
    </row>
    <row r="15" spans="2:24" x14ac:dyDescent="0.2">
      <c r="B15" s="5" t="s">
        <v>43</v>
      </c>
      <c r="C15" s="8">
        <f>SUM(C12:C14)</f>
        <v>0</v>
      </c>
      <c r="G15" t="s">
        <v>37</v>
      </c>
      <c r="H15" s="7">
        <v>0</v>
      </c>
      <c r="I15" s="11">
        <f>-X41</f>
        <v>-2288407.7076546699</v>
      </c>
      <c r="J15" s="11">
        <f t="shared" si="8"/>
        <v>2288407.7076546699</v>
      </c>
      <c r="K15" s="7"/>
      <c r="L15">
        <v>11</v>
      </c>
      <c r="M15" s="4">
        <f t="shared" si="1"/>
        <v>45275</v>
      </c>
      <c r="N15" s="4"/>
      <c r="O15" s="1">
        <f t="shared" si="2"/>
        <v>1213482.9986180579</v>
      </c>
      <c r="Q15" s="1">
        <f t="shared" si="3"/>
        <v>39768.114077748185</v>
      </c>
      <c r="R15" s="1">
        <f t="shared" si="4"/>
        <v>18798.766690437093</v>
      </c>
      <c r="S15" s="1"/>
      <c r="T15" s="1">
        <f t="shared" si="7"/>
        <v>58566.880768185278</v>
      </c>
      <c r="V15" s="1"/>
      <c r="W15" s="1">
        <f>PMT(C$9/12,C$8,-C$5*(1-C$6),C$7)</f>
        <v>58566.880768185278</v>
      </c>
      <c r="X15" s="1">
        <f t="shared" si="0"/>
        <v>58566.880768185278</v>
      </c>
    </row>
    <row r="16" spans="2:24" x14ac:dyDescent="0.2">
      <c r="B16" s="14"/>
      <c r="C16" s="14"/>
      <c r="G16" s="10" t="s">
        <v>23</v>
      </c>
      <c r="H16" s="11">
        <f>SUM(H13:H15)</f>
        <v>-2288407.7076546699</v>
      </c>
      <c r="I16" s="11">
        <f>SUM(I13:I15)</f>
        <v>-2288407.7076546699</v>
      </c>
      <c r="J16" s="11">
        <f t="shared" si="8"/>
        <v>0</v>
      </c>
      <c r="K16" s="7"/>
      <c r="L16">
        <v>12</v>
      </c>
      <c r="M16" s="4">
        <f t="shared" si="1"/>
        <v>45306</v>
      </c>
      <c r="N16" s="4"/>
      <c r="O16" s="1">
        <f t="shared" si="2"/>
        <v>1173118.3628291434</v>
      </c>
      <c r="Q16" s="1">
        <f t="shared" si="3"/>
        <v>40364.635788914413</v>
      </c>
      <c r="R16" s="1">
        <f t="shared" si="4"/>
        <v>18202.244979270868</v>
      </c>
      <c r="S16" s="1"/>
      <c r="T16" s="1">
        <f t="shared" si="7"/>
        <v>58566.880768185278</v>
      </c>
      <c r="V16" s="1"/>
      <c r="W16" s="1">
        <f>PMT(C$9/12,C$8,-C$5*(1-C$6),C$7)</f>
        <v>58566.880768185278</v>
      </c>
      <c r="X16" s="1">
        <f t="shared" si="0"/>
        <v>58566.880768185278</v>
      </c>
    </row>
    <row r="17" spans="2:24" x14ac:dyDescent="0.2">
      <c r="B17" s="15" t="s">
        <v>48</v>
      </c>
      <c r="C17" s="15"/>
      <c r="G17" t="s">
        <v>15</v>
      </c>
      <c r="H17" s="7">
        <f>-H16*0.2</f>
        <v>457681.54153093399</v>
      </c>
      <c r="I17" s="7">
        <f>-I16*0.2</f>
        <v>457681.54153093399</v>
      </c>
      <c r="J17" s="11">
        <f t="shared" si="8"/>
        <v>0</v>
      </c>
      <c r="K17" s="7"/>
      <c r="L17">
        <v>13</v>
      </c>
      <c r="M17" s="4">
        <f t="shared" si="1"/>
        <v>45337</v>
      </c>
      <c r="N17" s="4"/>
      <c r="O17" s="1">
        <f t="shared" si="2"/>
        <v>1132148.2575033952</v>
      </c>
      <c r="Q17" s="1">
        <f t="shared" si="3"/>
        <v>40970.105325748125</v>
      </c>
      <c r="R17" s="1">
        <f t="shared" si="4"/>
        <v>17596.775442437149</v>
      </c>
      <c r="S17" s="1"/>
      <c r="T17" s="1">
        <f t="shared" si="7"/>
        <v>58566.880768185278</v>
      </c>
      <c r="V17" s="1"/>
      <c r="W17" s="1">
        <f>PMT(C$9/12,C$8,-C$5*(1-C$6),C$7)</f>
        <v>58566.880768185278</v>
      </c>
      <c r="X17" s="1">
        <f t="shared" si="0"/>
        <v>58566.880768185278</v>
      </c>
    </row>
    <row r="18" spans="2:24" ht="20" customHeight="1" x14ac:dyDescent="0.2">
      <c r="B18" s="15"/>
      <c r="C18" s="15"/>
      <c r="G18" s="5" t="s">
        <v>24</v>
      </c>
      <c r="H18" s="8">
        <f>SUM(H16:H17)</f>
        <v>-1830726.166123736</v>
      </c>
      <c r="I18" s="8">
        <f>SUM(I16:I17)</f>
        <v>-1830726.166123736</v>
      </c>
      <c r="J18" s="13">
        <f>H18-I18</f>
        <v>0</v>
      </c>
      <c r="K18" s="7"/>
      <c r="L18">
        <v>14</v>
      </c>
      <c r="M18" s="4">
        <f t="shared" si="1"/>
        <v>45366</v>
      </c>
      <c r="N18" s="4"/>
      <c r="O18" s="1">
        <f t="shared" si="2"/>
        <v>1090563.6005977609</v>
      </c>
      <c r="Q18" s="1">
        <f t="shared" si="3"/>
        <v>41584.656905634351</v>
      </c>
      <c r="R18" s="1">
        <f t="shared" si="4"/>
        <v>16982.223862550927</v>
      </c>
      <c r="S18" s="1"/>
      <c r="T18" s="1">
        <f t="shared" si="7"/>
        <v>58566.880768185278</v>
      </c>
      <c r="V18" s="1"/>
      <c r="W18" s="1">
        <f>PMT(C$9/12,C$8,-C$5*(1-C$6),C$7)</f>
        <v>58566.880768185278</v>
      </c>
      <c r="X18" s="1">
        <f t="shared" si="0"/>
        <v>58566.880768185278</v>
      </c>
    </row>
    <row r="19" spans="2:24" x14ac:dyDescent="0.2">
      <c r="B19" s="15"/>
      <c r="C19" s="15"/>
      <c r="J19" s="10"/>
      <c r="L19">
        <v>15</v>
      </c>
      <c r="M19" s="4">
        <f t="shared" si="1"/>
        <v>45397</v>
      </c>
      <c r="N19" s="4"/>
      <c r="O19" s="1">
        <f t="shared" si="2"/>
        <v>1048355.173838542</v>
      </c>
      <c r="Q19" s="1">
        <f t="shared" si="3"/>
        <v>42208.426759218863</v>
      </c>
      <c r="R19" s="1">
        <f t="shared" si="4"/>
        <v>16358.454008966413</v>
      </c>
      <c r="S19" s="1"/>
      <c r="T19" s="1">
        <f t="shared" si="7"/>
        <v>58566.880768185278</v>
      </c>
      <c r="V19" s="1"/>
      <c r="W19" s="1">
        <f>PMT(C$9/12,C$8,-C$5*(1-C$6),C$7)</f>
        <v>58566.880768185278</v>
      </c>
      <c r="X19" s="1">
        <f t="shared" si="0"/>
        <v>58566.880768185278</v>
      </c>
    </row>
    <row r="20" spans="2:24" x14ac:dyDescent="0.2">
      <c r="B20" s="15"/>
      <c r="C20" s="15"/>
      <c r="G20" s="5" t="s">
        <v>30</v>
      </c>
      <c r="J20" s="10"/>
      <c r="L20">
        <v>16</v>
      </c>
      <c r="M20" s="4">
        <f t="shared" si="1"/>
        <v>45427</v>
      </c>
      <c r="N20" s="4"/>
      <c r="O20" s="1">
        <f t="shared" si="2"/>
        <v>1005513.6206779348</v>
      </c>
      <c r="Q20" s="1">
        <f t="shared" si="3"/>
        <v>42841.553160607145</v>
      </c>
      <c r="R20" s="1">
        <f t="shared" si="4"/>
        <v>15725.32760757813</v>
      </c>
      <c r="S20" s="1"/>
      <c r="T20" s="1">
        <f t="shared" si="7"/>
        <v>58566.880768185278</v>
      </c>
      <c r="V20" s="1"/>
      <c r="W20" s="1">
        <f>PMT(C$9/12,C$8,-C$5*(1-C$6),C$7)</f>
        <v>58566.880768185278</v>
      </c>
      <c r="X20" s="1">
        <f t="shared" si="0"/>
        <v>58566.880768185278</v>
      </c>
    </row>
    <row r="21" spans="2:24" x14ac:dyDescent="0.2">
      <c r="B21" s="15"/>
      <c r="C21" s="15"/>
      <c r="G21" t="s">
        <v>25</v>
      </c>
      <c r="H21" s="7">
        <f>-C5*C6</f>
        <v>-180000</v>
      </c>
      <c r="I21" s="7">
        <f>H21</f>
        <v>-180000</v>
      </c>
      <c r="J21" s="11">
        <f t="shared" ref="J21:J28" si="9">H21-I21</f>
        <v>0</v>
      </c>
      <c r="K21" s="7"/>
      <c r="L21">
        <v>17</v>
      </c>
      <c r="M21" s="4">
        <f t="shared" si="1"/>
        <v>45458</v>
      </c>
      <c r="N21" s="4"/>
      <c r="O21" s="1">
        <f t="shared" si="2"/>
        <v>962029.44421991857</v>
      </c>
      <c r="Q21" s="1">
        <f t="shared" si="3"/>
        <v>43484.176458016256</v>
      </c>
      <c r="R21" s="1">
        <f t="shared" si="4"/>
        <v>15082.704310169021</v>
      </c>
      <c r="S21" s="1"/>
      <c r="T21" s="1">
        <f t="shared" si="7"/>
        <v>58566.880768185278</v>
      </c>
      <c r="V21" s="1"/>
      <c r="W21" s="1">
        <f>PMT(C$9/12,C$8,-C$5*(1-C$6),C$7)</f>
        <v>58566.880768185278</v>
      </c>
      <c r="X21" s="1">
        <f t="shared" si="0"/>
        <v>58566.880768185278</v>
      </c>
    </row>
    <row r="22" spans="2:24" x14ac:dyDescent="0.2">
      <c r="B22" s="15"/>
      <c r="C22" s="15"/>
      <c r="G22" s="3" t="s">
        <v>26</v>
      </c>
      <c r="H22" s="7">
        <v>0</v>
      </c>
      <c r="I22" s="11">
        <v>0</v>
      </c>
      <c r="J22" s="11">
        <f t="shared" si="9"/>
        <v>0</v>
      </c>
      <c r="K22" s="7"/>
      <c r="L22">
        <v>18</v>
      </c>
      <c r="M22" s="4">
        <f t="shared" si="1"/>
        <v>45488</v>
      </c>
      <c r="N22" s="4"/>
      <c r="O22" s="1">
        <f t="shared" si="2"/>
        <v>917893.00511503208</v>
      </c>
      <c r="Q22" s="1">
        <f t="shared" si="3"/>
        <v>44136.4391048865</v>
      </c>
      <c r="R22" s="1">
        <f t="shared" si="4"/>
        <v>14430.441663298778</v>
      </c>
      <c r="S22" s="1"/>
      <c r="T22" s="1">
        <f t="shared" si="7"/>
        <v>58566.880768185278</v>
      </c>
      <c r="V22" s="1"/>
      <c r="W22" s="1">
        <f>PMT(C$9/12,C$8,-C$5*(1-C$6),C$7)</f>
        <v>58566.880768185278</v>
      </c>
      <c r="X22" s="1">
        <f t="shared" si="0"/>
        <v>58566.880768185278</v>
      </c>
    </row>
    <row r="23" spans="2:24" x14ac:dyDescent="0.2">
      <c r="B23" s="14"/>
      <c r="C23" s="14"/>
      <c r="G23" s="3" t="s">
        <v>27</v>
      </c>
      <c r="H23" s="7">
        <f>-H22</f>
        <v>0</v>
      </c>
      <c r="I23">
        <v>0</v>
      </c>
      <c r="J23" s="11">
        <f t="shared" si="9"/>
        <v>0</v>
      </c>
      <c r="K23" s="7"/>
      <c r="L23">
        <v>19</v>
      </c>
      <c r="M23" s="4">
        <f t="shared" si="1"/>
        <v>45519</v>
      </c>
      <c r="N23" s="4"/>
      <c r="O23" s="1">
        <f t="shared" si="2"/>
        <v>873094.51942357223</v>
      </c>
      <c r="Q23" s="1">
        <f t="shared" si="3"/>
        <v>44798.485691459799</v>
      </c>
      <c r="R23" s="1">
        <f t="shared" si="4"/>
        <v>13768.395076725481</v>
      </c>
      <c r="S23" s="1"/>
      <c r="T23" s="1">
        <f t="shared" si="7"/>
        <v>58566.880768185278</v>
      </c>
      <c r="V23" s="1"/>
      <c r="W23" s="1">
        <f>PMT(C$9/12,C$8,-C$5*(1-C$6),C$7)</f>
        <v>58566.880768185278</v>
      </c>
      <c r="X23" s="1">
        <f t="shared" si="0"/>
        <v>58566.880768185278</v>
      </c>
    </row>
    <row r="24" spans="2:24" x14ac:dyDescent="0.2">
      <c r="B24" s="14"/>
      <c r="C24" s="14"/>
      <c r="D24" s="3"/>
      <c r="E24" s="3"/>
      <c r="F24" s="3"/>
      <c r="G24" t="s">
        <v>28</v>
      </c>
      <c r="H24" s="7">
        <f>H14</f>
        <v>-488407.70765466982</v>
      </c>
      <c r="I24">
        <v>0</v>
      </c>
      <c r="J24" s="11">
        <f t="shared" si="9"/>
        <v>-488407.70765466982</v>
      </c>
      <c r="K24" s="7"/>
      <c r="L24">
        <v>20</v>
      </c>
      <c r="M24" s="4">
        <f t="shared" si="1"/>
        <v>45550</v>
      </c>
      <c r="N24" s="4"/>
      <c r="O24" s="1">
        <f t="shared" si="2"/>
        <v>827624.05644674052</v>
      </c>
      <c r="Q24" s="1">
        <f t="shared" si="3"/>
        <v>45470.462976831695</v>
      </c>
      <c r="R24" s="1">
        <f t="shared" si="4"/>
        <v>13096.417791353582</v>
      </c>
      <c r="S24" s="1"/>
      <c r="T24" s="1">
        <f t="shared" si="7"/>
        <v>58566.880768185278</v>
      </c>
      <c r="V24" s="1"/>
      <c r="W24" s="1">
        <f>PMT(C$9/12,C$8,-C$5*(1-C$6),C$7)</f>
        <v>58566.880768185278</v>
      </c>
      <c r="X24" s="1">
        <f t="shared" si="0"/>
        <v>58566.880768185278</v>
      </c>
    </row>
    <row r="25" spans="2:24" x14ac:dyDescent="0.2">
      <c r="D25" s="3"/>
      <c r="E25" s="3"/>
      <c r="F25" s="3"/>
      <c r="G25" t="s">
        <v>31</v>
      </c>
      <c r="H25" s="7">
        <f>-C5-H21-H23</f>
        <v>-1620000</v>
      </c>
      <c r="I25">
        <v>0</v>
      </c>
      <c r="J25" s="11">
        <f t="shared" si="9"/>
        <v>-1620000</v>
      </c>
      <c r="K25" s="7"/>
      <c r="L25">
        <v>21</v>
      </c>
      <c r="M25" s="4">
        <f t="shared" si="1"/>
        <v>45580</v>
      </c>
      <c r="N25" s="4"/>
      <c r="O25" s="1">
        <f t="shared" si="2"/>
        <v>781471.53652525635</v>
      </c>
      <c r="Q25" s="1">
        <f t="shared" si="3"/>
        <v>46152.51992148417</v>
      </c>
      <c r="R25" s="1">
        <f t="shared" si="4"/>
        <v>12414.360846701107</v>
      </c>
      <c r="S25" s="1"/>
      <c r="T25" s="1">
        <f t="shared" si="7"/>
        <v>58566.880768185278</v>
      </c>
      <c r="V25" s="1"/>
      <c r="W25" s="1">
        <f>PMT(C$9/12,C$8,-C$5*(1-C$6),C$7)</f>
        <v>58566.880768185278</v>
      </c>
      <c r="X25" s="1">
        <f t="shared" si="0"/>
        <v>58566.880768185278</v>
      </c>
    </row>
    <row r="26" spans="2:24" x14ac:dyDescent="0.2">
      <c r="D26" s="3"/>
      <c r="E26" s="3"/>
      <c r="F26" s="3"/>
      <c r="G26" t="s">
        <v>38</v>
      </c>
      <c r="H26" s="7">
        <v>0</v>
      </c>
      <c r="I26" s="11">
        <f>-X41-I21</f>
        <v>-2108407.7076546699</v>
      </c>
      <c r="J26" s="11">
        <f t="shared" si="9"/>
        <v>2108407.7076546699</v>
      </c>
      <c r="K26" s="7"/>
      <c r="L26">
        <v>22</v>
      </c>
      <c r="M26" s="4">
        <f t="shared" si="1"/>
        <v>45611</v>
      </c>
      <c r="N26" s="4"/>
      <c r="O26" s="1">
        <f t="shared" si="2"/>
        <v>734626.7288049499</v>
      </c>
      <c r="Q26" s="1">
        <f t="shared" si="3"/>
        <v>46844.807720306431</v>
      </c>
      <c r="R26" s="1">
        <f t="shared" si="4"/>
        <v>11722.073047878845</v>
      </c>
      <c r="S26" s="1"/>
      <c r="T26" s="1">
        <f t="shared" si="7"/>
        <v>58566.880768185278</v>
      </c>
      <c r="V26" s="1"/>
      <c r="W26" s="1">
        <f>PMT(C$9/12,C$8,-C$5*(1-C$6),C$7)</f>
        <v>58566.880768185278</v>
      </c>
      <c r="X26" s="1">
        <f t="shared" si="0"/>
        <v>58566.880768185278</v>
      </c>
    </row>
    <row r="27" spans="2:24" x14ac:dyDescent="0.2">
      <c r="D27" s="3"/>
      <c r="E27" s="3"/>
      <c r="F27" s="3"/>
      <c r="G27" t="s">
        <v>29</v>
      </c>
      <c r="H27" s="7">
        <f>H17</f>
        <v>457681.54153093399</v>
      </c>
      <c r="I27" s="7">
        <f>I17</f>
        <v>457681.54153093399</v>
      </c>
      <c r="J27" s="11">
        <f t="shared" si="9"/>
        <v>0</v>
      </c>
      <c r="K27" s="7"/>
      <c r="L27">
        <v>23</v>
      </c>
      <c r="M27" s="4">
        <f t="shared" si="1"/>
        <v>45641</v>
      </c>
      <c r="N27" s="4"/>
      <c r="O27" s="1">
        <f t="shared" si="2"/>
        <v>687079.24896883883</v>
      </c>
      <c r="Q27" s="1">
        <f t="shared" si="3"/>
        <v>47547.47983611103</v>
      </c>
      <c r="R27" s="1">
        <f t="shared" si="4"/>
        <v>11019.400932074248</v>
      </c>
      <c r="S27" s="1"/>
      <c r="T27" s="1">
        <f t="shared" si="7"/>
        <v>58566.880768185278</v>
      </c>
      <c r="V27" s="1"/>
      <c r="W27" s="1">
        <f>PMT(C$9/12,C$8,-C$5*(1-C$6),C$7)</f>
        <v>58566.880768185278</v>
      </c>
      <c r="X27" s="1">
        <f t="shared" si="0"/>
        <v>58566.880768185278</v>
      </c>
    </row>
    <row r="28" spans="2:24" x14ac:dyDescent="0.2">
      <c r="G28" s="5" t="s">
        <v>32</v>
      </c>
      <c r="H28" s="8">
        <f>SUM(H21:H27)</f>
        <v>-1830726.166123736</v>
      </c>
      <c r="I28" s="8">
        <f>SUM(I21:I27)</f>
        <v>-1830726.166123736</v>
      </c>
      <c r="J28" s="13">
        <f t="shared" si="9"/>
        <v>0</v>
      </c>
      <c r="K28" s="7"/>
      <c r="L28">
        <v>24</v>
      </c>
      <c r="M28" s="4">
        <f t="shared" si="1"/>
        <v>45672</v>
      </c>
      <c r="N28" s="4"/>
      <c r="O28" s="1">
        <f t="shared" si="2"/>
        <v>638818.55693518615</v>
      </c>
      <c r="Q28" s="1">
        <f t="shared" si="3"/>
        <v>48260.692033652696</v>
      </c>
      <c r="R28" s="1">
        <f t="shared" si="4"/>
        <v>10306.188734532583</v>
      </c>
      <c r="S28" s="1"/>
      <c r="T28" s="1">
        <f t="shared" si="7"/>
        <v>58566.880768185278</v>
      </c>
      <c r="V28" s="1"/>
      <c r="W28" s="1">
        <f>PMT(C$9/12,C$8,-C$5*(1-C$6),C$7)</f>
        <v>58566.880768185278</v>
      </c>
      <c r="X28" s="1">
        <f t="shared" si="0"/>
        <v>58566.880768185278</v>
      </c>
    </row>
    <row r="29" spans="2:24" x14ac:dyDescent="0.2">
      <c r="J29" s="10"/>
      <c r="L29">
        <v>25</v>
      </c>
      <c r="M29" s="4">
        <f t="shared" si="1"/>
        <v>45703</v>
      </c>
      <c r="N29" s="4"/>
      <c r="O29" s="1">
        <f t="shared" si="2"/>
        <v>589833.95452102867</v>
      </c>
      <c r="Q29" s="1">
        <f t="shared" si="3"/>
        <v>48984.602414157489</v>
      </c>
      <c r="R29" s="1">
        <f t="shared" si="4"/>
        <v>9582.2783540277924</v>
      </c>
      <c r="S29" s="1"/>
      <c r="T29" s="1">
        <f t="shared" si="7"/>
        <v>58566.880768185278</v>
      </c>
      <c r="V29" s="1"/>
      <c r="W29" s="1">
        <f>PMT(C$9/12,C$8,-C$5*(1-C$6),C$7)</f>
        <v>58566.880768185278</v>
      </c>
      <c r="X29" s="1">
        <f t="shared" si="0"/>
        <v>58566.880768185278</v>
      </c>
    </row>
    <row r="30" spans="2:24" x14ac:dyDescent="0.2">
      <c r="J30" s="10"/>
      <c r="L30">
        <v>26</v>
      </c>
      <c r="M30" s="4">
        <f t="shared" si="1"/>
        <v>45731</v>
      </c>
      <c r="N30" s="4"/>
      <c r="O30" s="1">
        <f t="shared" si="2"/>
        <v>540114.58307065885</v>
      </c>
      <c r="Q30" s="1">
        <f t="shared" si="3"/>
        <v>49719.37145036985</v>
      </c>
      <c r="R30" s="1">
        <f t="shared" si="4"/>
        <v>8847.5093178154293</v>
      </c>
      <c r="S30" s="1"/>
      <c r="T30" s="1">
        <f t="shared" si="7"/>
        <v>58566.880768185278</v>
      </c>
      <c r="V30" s="1"/>
      <c r="W30" s="1">
        <f>PMT(C$9/12,C$8,-C$5*(1-C$6),C$7)</f>
        <v>58566.880768185278</v>
      </c>
      <c r="X30" s="1">
        <f t="shared" si="0"/>
        <v>58566.880768185278</v>
      </c>
    </row>
    <row r="31" spans="2:24" x14ac:dyDescent="0.2">
      <c r="G31" s="5" t="s">
        <v>33</v>
      </c>
      <c r="J31" s="10"/>
      <c r="L31">
        <v>27</v>
      </c>
      <c r="M31" s="4">
        <f t="shared" si="1"/>
        <v>45762</v>
      </c>
      <c r="N31" s="4"/>
      <c r="O31" s="1">
        <f t="shared" si="2"/>
        <v>489649.42104853346</v>
      </c>
      <c r="Q31" s="1">
        <f t="shared" si="3"/>
        <v>50465.162022125398</v>
      </c>
      <c r="R31" s="1">
        <f t="shared" si="4"/>
        <v>8101.7187460598825</v>
      </c>
      <c r="S31" s="1"/>
      <c r="T31" s="1">
        <f t="shared" si="7"/>
        <v>58566.880768185278</v>
      </c>
      <c r="V31" s="1"/>
      <c r="W31" s="1">
        <f>PMT(C$9/12,C$8,-C$5*(1-C$6),C$7)</f>
        <v>58566.880768185278</v>
      </c>
      <c r="X31" s="1">
        <f t="shared" si="0"/>
        <v>58566.880768185278</v>
      </c>
    </row>
    <row r="32" spans="2:24" x14ac:dyDescent="0.2">
      <c r="G32" t="s">
        <v>35</v>
      </c>
      <c r="H32" s="1">
        <f>C5+H13</f>
        <v>0</v>
      </c>
      <c r="I32">
        <v>0</v>
      </c>
      <c r="J32" s="11">
        <f t="shared" ref="J32:J34" si="10">H32-I32</f>
        <v>0</v>
      </c>
      <c r="K32" s="7"/>
      <c r="L32">
        <v>28</v>
      </c>
      <c r="M32" s="4">
        <f t="shared" si="1"/>
        <v>45792</v>
      </c>
      <c r="N32" s="4"/>
      <c r="O32" s="1">
        <f t="shared" si="2"/>
        <v>438427.28159607621</v>
      </c>
      <c r="Q32" s="1">
        <f t="shared" si="3"/>
        <v>51222.139452457275</v>
      </c>
      <c r="R32" s="1">
        <f t="shared" si="4"/>
        <v>7344.7413157280016</v>
      </c>
      <c r="S32" s="1"/>
      <c r="T32" s="1">
        <f t="shared" si="7"/>
        <v>58566.880768185278</v>
      </c>
      <c r="V32" s="1"/>
      <c r="W32" s="1">
        <f>PMT(C$9/12,C$8,-C$5*(1-C$6),C$7)</f>
        <v>58566.880768185278</v>
      </c>
      <c r="X32" s="1">
        <f t="shared" si="0"/>
        <v>58566.880768185278</v>
      </c>
    </row>
    <row r="33" spans="7:24" x14ac:dyDescent="0.2">
      <c r="G33" t="s">
        <v>18</v>
      </c>
      <c r="H33" s="7">
        <f>H5+H28</f>
        <v>-1650726.166123736</v>
      </c>
      <c r="I33" s="7">
        <f>I5+I28</f>
        <v>-1650726.166123736</v>
      </c>
      <c r="J33" s="11">
        <f t="shared" si="10"/>
        <v>0</v>
      </c>
      <c r="K33" s="7"/>
      <c r="L33">
        <v>29</v>
      </c>
      <c r="M33" s="4">
        <f t="shared" si="1"/>
        <v>45823</v>
      </c>
      <c r="N33" s="4"/>
      <c r="O33" s="1">
        <f t="shared" si="2"/>
        <v>386436.81005183206</v>
      </c>
      <c r="Q33" s="1">
        <f t="shared" si="3"/>
        <v>51990.471544244137</v>
      </c>
      <c r="R33" s="1">
        <f t="shared" si="4"/>
        <v>6576.409223941143</v>
      </c>
      <c r="S33" s="1"/>
      <c r="T33" s="1">
        <f t="shared" si="7"/>
        <v>58566.880768185278</v>
      </c>
      <c r="V33" s="1"/>
      <c r="W33" s="1">
        <f>PMT(C$9/12,C$8,-C$5*(1-C$6),C$7)</f>
        <v>58566.880768185278</v>
      </c>
      <c r="X33" s="1">
        <f t="shared" si="0"/>
        <v>58566.880768185278</v>
      </c>
    </row>
    <row r="34" spans="7:24" x14ac:dyDescent="0.2">
      <c r="G34" s="5" t="s">
        <v>19</v>
      </c>
      <c r="H34" s="8">
        <f>SUM(H33:H33)</f>
        <v>-1650726.166123736</v>
      </c>
      <c r="I34" s="8">
        <f>SUM(I33:I33)</f>
        <v>-1650726.166123736</v>
      </c>
      <c r="J34" s="13">
        <f t="shared" si="10"/>
        <v>0</v>
      </c>
      <c r="K34" s="7"/>
      <c r="L34">
        <v>30</v>
      </c>
      <c r="M34" s="4">
        <f t="shared" si="1"/>
        <v>45853</v>
      </c>
      <c r="N34" s="4"/>
      <c r="O34" s="1">
        <f t="shared" si="2"/>
        <v>333666.48143442429</v>
      </c>
      <c r="Q34" s="1">
        <f t="shared" si="3"/>
        <v>52770.328617407795</v>
      </c>
      <c r="R34" s="1">
        <f t="shared" si="4"/>
        <v>5796.5521507774802</v>
      </c>
      <c r="S34" s="1"/>
      <c r="T34" s="1">
        <f t="shared" si="7"/>
        <v>58566.880768185278</v>
      </c>
      <c r="V34" s="1"/>
      <c r="W34" s="1">
        <f>PMT(C$9/12,C$8,-C$5*(1-C$6),C$7)</f>
        <v>58566.880768185278</v>
      </c>
      <c r="X34" s="1">
        <f t="shared" si="0"/>
        <v>58566.880768185278</v>
      </c>
    </row>
    <row r="35" spans="7:24" x14ac:dyDescent="0.2">
      <c r="J35" s="10"/>
      <c r="L35">
        <v>31</v>
      </c>
      <c r="M35" s="4">
        <f t="shared" si="1"/>
        <v>45884</v>
      </c>
      <c r="N35" s="4"/>
      <c r="O35" s="1">
        <f t="shared" si="2"/>
        <v>280104.59788775537</v>
      </c>
      <c r="Q35" s="1">
        <f t="shared" si="3"/>
        <v>53561.883546668912</v>
      </c>
      <c r="R35" s="1">
        <f t="shared" si="4"/>
        <v>5004.9972215163643</v>
      </c>
      <c r="S35" s="1"/>
      <c r="T35" s="1">
        <f t="shared" si="7"/>
        <v>58566.880768185278</v>
      </c>
      <c r="V35" s="1"/>
      <c r="W35" s="1">
        <f>PMT(C$9/12,C$8,-C$5*(1-C$6),C$7)</f>
        <v>58566.880768185278</v>
      </c>
      <c r="X35" s="1">
        <f t="shared" si="0"/>
        <v>58566.880768185278</v>
      </c>
    </row>
    <row r="36" spans="7:24" x14ac:dyDescent="0.2">
      <c r="G36" t="s">
        <v>20</v>
      </c>
      <c r="H36" s="7">
        <v>180000</v>
      </c>
      <c r="I36" s="7">
        <v>180000</v>
      </c>
      <c r="J36" s="11">
        <f t="shared" ref="J36:J39" si="11">H36-I36</f>
        <v>0</v>
      </c>
      <c r="K36" s="7"/>
      <c r="L36">
        <v>32</v>
      </c>
      <c r="M36" s="4">
        <f t="shared" si="1"/>
        <v>45915</v>
      </c>
      <c r="N36" s="4"/>
      <c r="O36" s="1">
        <f t="shared" si="2"/>
        <v>225739.28608788643</v>
      </c>
      <c r="Q36" s="1">
        <f t="shared" si="3"/>
        <v>54365.311799868949</v>
      </c>
      <c r="R36" s="1">
        <f t="shared" si="4"/>
        <v>4201.56896831633</v>
      </c>
      <c r="S36" s="1"/>
      <c r="T36" s="1">
        <f t="shared" si="7"/>
        <v>58566.880768185278</v>
      </c>
      <c r="V36" s="1"/>
      <c r="W36" s="1">
        <f>PMT(C$9/12,C$8,-C$5*(1-C$6),C$7)</f>
        <v>58566.880768185278</v>
      </c>
      <c r="X36" s="1">
        <f t="shared" si="0"/>
        <v>58566.880768185278</v>
      </c>
    </row>
    <row r="37" spans="7:24" x14ac:dyDescent="0.2">
      <c r="G37" t="s">
        <v>34</v>
      </c>
      <c r="H37" s="7">
        <f>H18</f>
        <v>-1830726.166123736</v>
      </c>
      <c r="I37" s="7">
        <f>I18</f>
        <v>-1830726.166123736</v>
      </c>
      <c r="J37" s="11">
        <f t="shared" si="11"/>
        <v>0</v>
      </c>
      <c r="K37" s="7"/>
      <c r="L37">
        <v>33</v>
      </c>
      <c r="M37" s="4">
        <f t="shared" si="1"/>
        <v>45945</v>
      </c>
      <c r="N37" s="4"/>
      <c r="O37" s="1">
        <f t="shared" si="2"/>
        <v>170558.49461101944</v>
      </c>
      <c r="Q37" s="1">
        <f t="shared" si="3"/>
        <v>55180.79147686698</v>
      </c>
      <c r="R37" s="1">
        <f t="shared" si="4"/>
        <v>3386.0892913182961</v>
      </c>
      <c r="S37" s="1"/>
      <c r="T37" s="1">
        <f t="shared" si="7"/>
        <v>58566.880768185278</v>
      </c>
      <c r="V37" s="1"/>
      <c r="W37" s="1">
        <f>PMT(C$9/12,C$8,-C$5*(1-C$6),C$7)</f>
        <v>58566.880768185278</v>
      </c>
      <c r="X37" s="1">
        <f t="shared" si="0"/>
        <v>58566.880768185278</v>
      </c>
    </row>
    <row r="38" spans="7:24" x14ac:dyDescent="0.2">
      <c r="G38" t="s">
        <v>39</v>
      </c>
      <c r="H38" s="1">
        <f>C5+H21+H23+H25</f>
        <v>0</v>
      </c>
      <c r="I38">
        <v>0</v>
      </c>
      <c r="J38" s="11">
        <f t="shared" si="11"/>
        <v>0</v>
      </c>
      <c r="K38" s="7"/>
      <c r="L38">
        <v>34</v>
      </c>
      <c r="M38" s="4">
        <f t="shared" si="1"/>
        <v>45976</v>
      </c>
      <c r="N38" s="4"/>
      <c r="O38" s="1">
        <f t="shared" si="2"/>
        <v>114549.99126199946</v>
      </c>
      <c r="Q38" s="1">
        <f t="shared" si="3"/>
        <v>56008.503349019986</v>
      </c>
      <c r="R38" s="1">
        <f t="shared" si="4"/>
        <v>2558.3774191652915</v>
      </c>
      <c r="S38" s="1"/>
      <c r="T38" s="1">
        <f t="shared" si="7"/>
        <v>58566.880768185278</v>
      </c>
      <c r="V38" s="1"/>
      <c r="W38" s="1">
        <f>PMT(C$9/12,C$8,-C$5*(1-C$6),C$7)</f>
        <v>58566.880768185278</v>
      </c>
      <c r="X38" s="1">
        <f t="shared" si="0"/>
        <v>58566.880768185278</v>
      </c>
    </row>
    <row r="39" spans="7:24" x14ac:dyDescent="0.2">
      <c r="G39" s="5" t="s">
        <v>21</v>
      </c>
      <c r="H39" s="8">
        <f>SUM(H36:H37)</f>
        <v>-1650726.166123736</v>
      </c>
      <c r="I39" s="8">
        <f>SUM(I36:I37)</f>
        <v>-1650726.166123736</v>
      </c>
      <c r="J39" s="13">
        <f t="shared" si="11"/>
        <v>0</v>
      </c>
      <c r="K39" s="7"/>
      <c r="L39">
        <v>35</v>
      </c>
      <c r="M39" s="4">
        <f t="shared" si="1"/>
        <v>46006</v>
      </c>
      <c r="N39" s="4"/>
      <c r="O39" s="1">
        <f t="shared" si="2"/>
        <v>57701.36036274417</v>
      </c>
      <c r="Q39" s="1">
        <f t="shared" si="3"/>
        <v>56848.630899255288</v>
      </c>
      <c r="R39" s="1">
        <f t="shared" si="4"/>
        <v>1718.2498689299919</v>
      </c>
      <c r="S39" s="1"/>
      <c r="T39" s="1">
        <f t="shared" si="7"/>
        <v>58566.880768185278</v>
      </c>
      <c r="V39" s="1"/>
      <c r="W39" s="1">
        <f>PMT(C$9/12,C$8,-C$5*(1-C$6),C$7)</f>
        <v>58566.880768185278</v>
      </c>
      <c r="X39" s="1">
        <f t="shared" si="0"/>
        <v>58566.880768185278</v>
      </c>
    </row>
    <row r="40" spans="7:24" x14ac:dyDescent="0.2">
      <c r="L40">
        <v>36</v>
      </c>
      <c r="M40" s="4">
        <f t="shared" si="1"/>
        <v>46037</v>
      </c>
      <c r="N40" s="4"/>
      <c r="O40" s="1">
        <f t="shared" si="2"/>
        <v>5.8207660913467407E-11</v>
      </c>
      <c r="Q40" s="1">
        <f t="shared" si="3"/>
        <v>57701.360362744112</v>
      </c>
      <c r="R40" s="1">
        <f t="shared" si="4"/>
        <v>865.52040544116255</v>
      </c>
      <c r="S40" s="1"/>
      <c r="T40" s="1">
        <f t="shared" si="7"/>
        <v>58566.880768185278</v>
      </c>
      <c r="V40" s="1"/>
      <c r="W40" s="1">
        <f>PMT(C$9/12,C$8,-C$5*(1-C$6),C$7)</f>
        <v>58566.880768185278</v>
      </c>
      <c r="X40" s="1">
        <f t="shared" si="0"/>
        <v>58566.880768185278</v>
      </c>
    </row>
    <row r="41" spans="7:24" x14ac:dyDescent="0.2">
      <c r="R41" s="1">
        <f>SUM(R4:R40)</f>
        <v>488407.70765466982</v>
      </c>
      <c r="T41" s="1">
        <f>SUM(T4:T40)</f>
        <v>2288407.7076546699</v>
      </c>
      <c r="X41" s="1">
        <f>SUM(X4:X40)</f>
        <v>2288407.7076546699</v>
      </c>
    </row>
  </sheetData>
  <mergeCells count="3">
    <mergeCell ref="O2:T2"/>
    <mergeCell ref="V2:X2"/>
    <mergeCell ref="B17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Лизингополучатель платит НДС</vt:lpstr>
      <vt:lpstr>Лизингополучатель не платит НДС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2023-02-22T06:20:49Z</dcterms:created>
  <dcterms:modified xsi:type="dcterms:W3CDTF">2023-03-06T13:09:47Z</dcterms:modified>
</cp:coreProperties>
</file>