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/Desktop/Севастьянов/LLease/"/>
    </mc:Choice>
  </mc:AlternateContent>
  <xr:revisionPtr revIDLastSave="0" documentId="13_ncr:1_{5DC07E5C-4FF5-DD43-9E54-E9A1784E00FC}" xr6:coauthVersionLast="47" xr6:coauthVersionMax="47" xr10:uidLastSave="{00000000-0000-0000-0000-000000000000}"/>
  <bookViews>
    <workbookView xWindow="160" yWindow="500" windowWidth="25440" windowHeight="13980" activeTab="1" xr2:uid="{A976C244-464E-414B-AAB3-AC3B793CDA90}"/>
  </bookViews>
  <sheets>
    <sheet name="Учет у арендатора" sheetId="2" r:id="rId1"/>
    <sheet name="Учет у арендодателя" sheetId="3" r:id="rId2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8" i="3"/>
  <c r="C15" i="3"/>
  <c r="B27" i="3" s="1"/>
  <c r="C27" i="3"/>
  <c r="C33" i="3" s="1"/>
  <c r="E33" i="3" s="1"/>
  <c r="C27" i="2"/>
  <c r="C58" i="2" s="1"/>
  <c r="F58" i="2" s="1"/>
  <c r="H58" i="2" s="1"/>
  <c r="H6" i="2"/>
  <c r="H8" i="2" s="1"/>
  <c r="H14" i="2"/>
  <c r="B28" i="3"/>
  <c r="B29" i="3" s="1"/>
  <c r="B30" i="3" s="1"/>
  <c r="B31" i="3" s="1"/>
  <c r="B27" i="2"/>
  <c r="B28" i="2"/>
  <c r="B29" i="2" s="1"/>
  <c r="C46" i="2"/>
  <c r="F46" i="2" s="1"/>
  <c r="H46" i="2" s="1"/>
  <c r="C45" i="2"/>
  <c r="F45" i="2" s="1"/>
  <c r="H45" i="2" s="1"/>
  <c r="G14" i="3" l="1"/>
  <c r="H6" i="3"/>
  <c r="C53" i="2"/>
  <c r="F53" i="2" s="1"/>
  <c r="H53" i="2" s="1"/>
  <c r="C61" i="2"/>
  <c r="F61" i="2" s="1"/>
  <c r="H61" i="2" s="1"/>
  <c r="C43" i="2"/>
  <c r="F43" i="2" s="1"/>
  <c r="H43" i="2" s="1"/>
  <c r="C62" i="2"/>
  <c r="F62" i="2" s="1"/>
  <c r="H62" i="2" s="1"/>
  <c r="C35" i="2"/>
  <c r="F35" i="2" s="1"/>
  <c r="C54" i="2"/>
  <c r="F54" i="2" s="1"/>
  <c r="H54" i="2" s="1"/>
  <c r="C51" i="2"/>
  <c r="F51" i="2" s="1"/>
  <c r="H51" i="2" s="1"/>
  <c r="C30" i="2"/>
  <c r="F30" i="2" s="1"/>
  <c r="C37" i="2"/>
  <c r="F37" i="2" s="1"/>
  <c r="C59" i="2"/>
  <c r="F59" i="2" s="1"/>
  <c r="H59" i="2" s="1"/>
  <c r="C29" i="2"/>
  <c r="C38" i="2"/>
  <c r="F38" i="2" s="1"/>
  <c r="C56" i="3"/>
  <c r="G56" i="3" s="1"/>
  <c r="C28" i="2"/>
  <c r="D28" i="2" s="1"/>
  <c r="C36" i="2"/>
  <c r="F36" i="2" s="1"/>
  <c r="C44" i="2"/>
  <c r="F44" i="2" s="1"/>
  <c r="H44" i="2" s="1"/>
  <c r="C52" i="2"/>
  <c r="F52" i="2" s="1"/>
  <c r="H52" i="2" s="1"/>
  <c r="C60" i="2"/>
  <c r="F60" i="2" s="1"/>
  <c r="H60" i="2" s="1"/>
  <c r="I6" i="2"/>
  <c r="C32" i="2"/>
  <c r="F32" i="2" s="1"/>
  <c r="C40" i="2"/>
  <c r="F40" i="2" s="1"/>
  <c r="H40" i="2" s="1"/>
  <c r="C48" i="2"/>
  <c r="F48" i="2" s="1"/>
  <c r="H48" i="2" s="1"/>
  <c r="C56" i="2"/>
  <c r="F56" i="2" s="1"/>
  <c r="H56" i="2" s="1"/>
  <c r="C31" i="2"/>
  <c r="F31" i="2" s="1"/>
  <c r="C47" i="2"/>
  <c r="F47" i="2" s="1"/>
  <c r="H47" i="2" s="1"/>
  <c r="C55" i="2"/>
  <c r="F55" i="2" s="1"/>
  <c r="H55" i="2" s="1"/>
  <c r="C63" i="2"/>
  <c r="F63" i="2" s="1"/>
  <c r="H63" i="2" s="1"/>
  <c r="C33" i="2"/>
  <c r="F33" i="2" s="1"/>
  <c r="C41" i="2"/>
  <c r="F41" i="2" s="1"/>
  <c r="H41" i="2" s="1"/>
  <c r="C49" i="2"/>
  <c r="F49" i="2" s="1"/>
  <c r="H49" i="2" s="1"/>
  <c r="C57" i="2"/>
  <c r="F57" i="2" s="1"/>
  <c r="H57" i="2" s="1"/>
  <c r="C39" i="2"/>
  <c r="F39" i="2" s="1"/>
  <c r="C34" i="2"/>
  <c r="F34" i="2" s="1"/>
  <c r="C42" i="2"/>
  <c r="F42" i="2" s="1"/>
  <c r="H42" i="2" s="1"/>
  <c r="C50" i="2"/>
  <c r="F50" i="2" s="1"/>
  <c r="H50" i="2" s="1"/>
  <c r="C40" i="3"/>
  <c r="G40" i="3" s="1"/>
  <c r="C60" i="3"/>
  <c r="C45" i="3"/>
  <c r="C29" i="3"/>
  <c r="C55" i="3"/>
  <c r="E55" i="3" s="1"/>
  <c r="C39" i="3"/>
  <c r="E39" i="3" s="1"/>
  <c r="C38" i="3"/>
  <c r="E38" i="3" s="1"/>
  <c r="C28" i="3"/>
  <c r="C37" i="3"/>
  <c r="E37" i="3" s="1"/>
  <c r="C63" i="3"/>
  <c r="E63" i="3" s="1"/>
  <c r="C48" i="3"/>
  <c r="G48" i="3" s="1"/>
  <c r="C32" i="3"/>
  <c r="E32" i="3" s="1"/>
  <c r="C53" i="3"/>
  <c r="C62" i="3"/>
  <c r="E62" i="3" s="1"/>
  <c r="C47" i="3"/>
  <c r="E47" i="3" s="1"/>
  <c r="C31" i="3"/>
  <c r="E31" i="3" s="1"/>
  <c r="C54" i="3"/>
  <c r="E54" i="3" s="1"/>
  <c r="C61" i="3"/>
  <c r="C46" i="3"/>
  <c r="C30" i="3"/>
  <c r="E30" i="3" s="1"/>
  <c r="C59" i="3"/>
  <c r="C51" i="3"/>
  <c r="C43" i="3"/>
  <c r="C35" i="3"/>
  <c r="E35" i="3" s="1"/>
  <c r="C44" i="3"/>
  <c r="C58" i="3"/>
  <c r="C50" i="3"/>
  <c r="C42" i="3"/>
  <c r="C34" i="3"/>
  <c r="E34" i="3" s="1"/>
  <c r="C52" i="3"/>
  <c r="C36" i="3"/>
  <c r="E36" i="3" s="1"/>
  <c r="C57" i="3"/>
  <c r="C49" i="3"/>
  <c r="C41" i="3"/>
  <c r="H15" i="2"/>
  <c r="B32" i="3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30" i="2"/>
  <c r="D29" i="2"/>
  <c r="E56" i="3" l="1"/>
  <c r="G63" i="3"/>
  <c r="I6" i="3"/>
  <c r="E40" i="3"/>
  <c r="E48" i="3"/>
  <c r="G54" i="3"/>
  <c r="G62" i="3"/>
  <c r="G55" i="3"/>
  <c r="E46" i="3"/>
  <c r="G46" i="3"/>
  <c r="E45" i="3"/>
  <c r="G45" i="3"/>
  <c r="G47" i="3"/>
  <c r="E61" i="3"/>
  <c r="G61" i="3"/>
  <c r="G60" i="3"/>
  <c r="E60" i="3"/>
  <c r="E53" i="3"/>
  <c r="G53" i="3"/>
  <c r="E51" i="3"/>
  <c r="G51" i="3"/>
  <c r="E42" i="3"/>
  <c r="G42" i="3"/>
  <c r="G43" i="3"/>
  <c r="E43" i="3"/>
  <c r="G41" i="3"/>
  <c r="E41" i="3"/>
  <c r="G57" i="3"/>
  <c r="E57" i="3"/>
  <c r="G58" i="3"/>
  <c r="E58" i="3"/>
  <c r="E49" i="3"/>
  <c r="G49" i="3"/>
  <c r="G52" i="3"/>
  <c r="E52" i="3"/>
  <c r="E50" i="3"/>
  <c r="G50" i="3"/>
  <c r="G59" i="3"/>
  <c r="E59" i="3"/>
  <c r="G44" i="3"/>
  <c r="E44" i="3"/>
  <c r="D30" i="2"/>
  <c r="B31" i="2"/>
  <c r="D31" i="2" l="1"/>
  <c r="B32" i="2"/>
  <c r="B33" i="2" l="1"/>
  <c r="D32" i="2"/>
  <c r="B34" i="2" l="1"/>
  <c r="D33" i="2"/>
  <c r="D34" i="2" l="1"/>
  <c r="B35" i="2"/>
  <c r="B36" i="2" l="1"/>
  <c r="D35" i="2"/>
  <c r="B37" i="2" l="1"/>
  <c r="D36" i="2"/>
  <c r="B38" i="2" l="1"/>
  <c r="J6" i="2" s="1"/>
  <c r="D37" i="2"/>
  <c r="D38" i="2" l="1"/>
  <c r="B39" i="2"/>
  <c r="D39" i="2" l="1"/>
  <c r="B40" i="2"/>
  <c r="B41" i="2" l="1"/>
  <c r="D40" i="2"/>
  <c r="B42" i="2" l="1"/>
  <c r="D41" i="2"/>
  <c r="D42" i="2" l="1"/>
  <c r="B43" i="2"/>
  <c r="B44" i="2" l="1"/>
  <c r="D43" i="2"/>
  <c r="B45" i="2" l="1"/>
  <c r="D44" i="2"/>
  <c r="B46" i="2" l="1"/>
  <c r="D45" i="2"/>
  <c r="B47" i="2" l="1"/>
  <c r="D46" i="2"/>
  <c r="D47" i="2" l="1"/>
  <c r="B48" i="2"/>
  <c r="B49" i="2" l="1"/>
  <c r="D48" i="2"/>
  <c r="B50" i="2" l="1"/>
  <c r="D49" i="2"/>
  <c r="B51" i="2" l="1"/>
  <c r="D50" i="2"/>
  <c r="D51" i="2" l="1"/>
  <c r="B52" i="2"/>
  <c r="B53" i="2" l="1"/>
  <c r="D52" i="2"/>
  <c r="B54" i="2" l="1"/>
  <c r="D53" i="2"/>
  <c r="D54" i="2" l="1"/>
  <c r="B55" i="2"/>
  <c r="D55" i="2" l="1"/>
  <c r="B56" i="2"/>
  <c r="B57" i="2" l="1"/>
  <c r="D56" i="2"/>
  <c r="B58" i="2" l="1"/>
  <c r="D57" i="2"/>
  <c r="B59" i="2" l="1"/>
  <c r="D58" i="2"/>
  <c r="D59" i="2" l="1"/>
  <c r="B60" i="2"/>
  <c r="B61" i="2" l="1"/>
  <c r="D60" i="2"/>
  <c r="B62" i="2" l="1"/>
  <c r="D61" i="2"/>
  <c r="B63" i="2" l="1"/>
  <c r="D62" i="2"/>
  <c r="D63" i="2" l="1"/>
  <c r="D27" i="2" s="1"/>
  <c r="C14" i="2" s="1"/>
  <c r="B26" i="2"/>
  <c r="I43" i="2" l="1"/>
  <c r="I51" i="2"/>
  <c r="I59" i="2"/>
  <c r="I44" i="2"/>
  <c r="I52" i="2"/>
  <c r="I60" i="2"/>
  <c r="I45" i="2"/>
  <c r="I53" i="2"/>
  <c r="I61" i="2"/>
  <c r="I46" i="2"/>
  <c r="I54" i="2"/>
  <c r="I62" i="2"/>
  <c r="I47" i="2"/>
  <c r="I55" i="2"/>
  <c r="I63" i="2"/>
  <c r="I48" i="2"/>
  <c r="I56" i="2"/>
  <c r="I40" i="2"/>
  <c r="I41" i="2"/>
  <c r="I49" i="2"/>
  <c r="I57" i="2"/>
  <c r="I42" i="2"/>
  <c r="I50" i="2"/>
  <c r="I5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C13" i="2"/>
  <c r="C12" i="2"/>
  <c r="C15" i="2"/>
  <c r="G29" i="2" l="1"/>
  <c r="I39" i="2"/>
  <c r="I20" i="2" s="1"/>
  <c r="C16" i="2"/>
  <c r="I4" i="2"/>
  <c r="H19" i="2" l="1"/>
  <c r="I5" i="2" s="1"/>
  <c r="I19" i="2"/>
  <c r="I12" i="2"/>
  <c r="H20" i="2"/>
  <c r="J12" i="2"/>
  <c r="J5" i="2" l="1"/>
  <c r="I22" i="2"/>
  <c r="J11" i="2" s="1"/>
  <c r="I10" i="3" l="1"/>
  <c r="J10" i="2"/>
  <c r="J4" i="2" l="1"/>
  <c r="J8" i="2" s="1"/>
  <c r="I8" i="2"/>
  <c r="H22" i="2" l="1"/>
  <c r="I11" i="2" s="1"/>
  <c r="I14" i="2" s="1"/>
  <c r="I15" i="2" s="1"/>
  <c r="J14" i="2" l="1"/>
  <c r="J15" i="2" s="1"/>
  <c r="B26" i="3" l="1"/>
  <c r="H43" i="3" l="1"/>
  <c r="H51" i="3"/>
  <c r="H59" i="3"/>
  <c r="F33" i="3"/>
  <c r="F41" i="3"/>
  <c r="F49" i="3"/>
  <c r="F57" i="3"/>
  <c r="H54" i="3"/>
  <c r="H62" i="3"/>
  <c r="F52" i="3"/>
  <c r="H47" i="3"/>
  <c r="H55" i="3"/>
  <c r="H63" i="3"/>
  <c r="F45" i="3"/>
  <c r="F61" i="3"/>
  <c r="F46" i="3"/>
  <c r="H44" i="3"/>
  <c r="H52" i="3"/>
  <c r="H60" i="3"/>
  <c r="F34" i="3"/>
  <c r="F42" i="3"/>
  <c r="F50" i="3"/>
  <c r="F58" i="3"/>
  <c r="H46" i="3"/>
  <c r="F36" i="3"/>
  <c r="F60" i="3"/>
  <c r="F37" i="3"/>
  <c r="F53" i="3"/>
  <c r="H40" i="3"/>
  <c r="F54" i="3"/>
  <c r="H45" i="3"/>
  <c r="H53" i="3"/>
  <c r="H61" i="3"/>
  <c r="F35" i="3"/>
  <c r="F43" i="3"/>
  <c r="F51" i="3"/>
  <c r="F59" i="3"/>
  <c r="F44" i="3"/>
  <c r="H48" i="3"/>
  <c r="H56" i="3"/>
  <c r="F38" i="3"/>
  <c r="F62" i="3"/>
  <c r="H41" i="3"/>
  <c r="H49" i="3"/>
  <c r="H57" i="3"/>
  <c r="F31" i="3"/>
  <c r="F39" i="3"/>
  <c r="F47" i="3"/>
  <c r="F55" i="3"/>
  <c r="F63" i="3"/>
  <c r="H42" i="3"/>
  <c r="H50" i="3"/>
  <c r="H58" i="3"/>
  <c r="F32" i="3"/>
  <c r="F40" i="3"/>
  <c r="F48" i="3"/>
  <c r="F56" i="3"/>
  <c r="F30" i="3"/>
  <c r="C14" i="3"/>
  <c r="C13" i="3" s="1"/>
  <c r="F29" i="3" l="1"/>
  <c r="H39" i="3"/>
  <c r="H18" i="3" s="1"/>
  <c r="H20" i="3" s="1"/>
  <c r="I11" i="3" s="1"/>
  <c r="H4" i="3" l="1"/>
  <c r="H8" i="3" s="1"/>
  <c r="G18" i="3"/>
  <c r="G20" i="3" s="1"/>
  <c r="I4" i="3"/>
  <c r="I8" i="3" s="1"/>
  <c r="I13" i="3" l="1"/>
  <c r="H11" i="3"/>
  <c r="H13" i="3" s="1"/>
  <c r="H14" i="3" s="1"/>
  <c r="I14" i="3"/>
</calcChain>
</file>

<file path=xl/sharedStrings.xml><?xml version="1.0" encoding="utf-8"?>
<sst xmlns="http://schemas.openxmlformats.org/spreadsheetml/2006/main" count="72" uniqueCount="50">
  <si>
    <t>Аванс</t>
  </si>
  <si>
    <t>Срок, мес</t>
  </si>
  <si>
    <t>Сумма платежа</t>
  </si>
  <si>
    <t>Выкупная стоимость</t>
  </si>
  <si>
    <t>Ставка простого процента</t>
  </si>
  <si>
    <t>Ставка сложного процента</t>
  </si>
  <si>
    <t>Расчет ставки двумя методами</t>
  </si>
  <si>
    <t>Стоимость имущества</t>
  </si>
  <si>
    <t>Счет 01</t>
  </si>
  <si>
    <t>Легковой автомобиль</t>
  </si>
  <si>
    <t>Первоначальная оценка обязательства по аренде</t>
  </si>
  <si>
    <t>Справедливая оценка права пользования активом</t>
  </si>
  <si>
    <t>Итого актив</t>
  </si>
  <si>
    <t>Счет 76</t>
  </si>
  <si>
    <t>Обязательства по аренде</t>
  </si>
  <si>
    <t>Итого пассив</t>
  </si>
  <si>
    <t>Отчет о прибылях и убытках за 2023</t>
  </si>
  <si>
    <t>БАЛАНС</t>
  </si>
  <si>
    <t>Начисление амортизации</t>
  </si>
  <si>
    <t>Амортизация права пользования активом в мес (линейный метод)</t>
  </si>
  <si>
    <t>Начисление %</t>
  </si>
  <si>
    <t>Счет 51</t>
  </si>
  <si>
    <t>Денежные средства</t>
  </si>
  <si>
    <t>Счет 84</t>
  </si>
  <si>
    <t>Нераспределенная прибыль</t>
  </si>
  <si>
    <t>Итого влияние расходов по пользованию активом на прибыль</t>
  </si>
  <si>
    <t>Счет 80</t>
  </si>
  <si>
    <t>Уставной капитал</t>
  </si>
  <si>
    <t>Счет 02</t>
  </si>
  <si>
    <t>Накопленная амортизация</t>
  </si>
  <si>
    <t>Счет 62</t>
  </si>
  <si>
    <t>Дебиторка по оплате аванса</t>
  </si>
  <si>
    <t>Итого влияние выручки на прибыль</t>
  </si>
  <si>
    <t>Исходные данные</t>
  </si>
  <si>
    <t>Рассчетные параметры</t>
  </si>
  <si>
    <t>Расчет ставки</t>
  </si>
  <si>
    <t>Агентские расходы</t>
  </si>
  <si>
    <t>на 01.01.23</t>
  </si>
  <si>
    <t>на 01.01.24</t>
  </si>
  <si>
    <t>Оценка обязательств</t>
  </si>
  <si>
    <t>Дата передачи автомобиля</t>
  </si>
  <si>
    <t>на 01.04.23</t>
  </si>
  <si>
    <t>1 квартал</t>
  </si>
  <si>
    <t>Отчет о прибылях и убытках</t>
  </si>
  <si>
    <t>год</t>
  </si>
  <si>
    <t>Счет 58.ЧИА</t>
  </si>
  <si>
    <t>Чистые инвестиции в аренду</t>
  </si>
  <si>
    <t>Чистые инвестиции в аренду (ЧИА)</t>
  </si>
  <si>
    <t>Выручка от аренды (лизинга)</t>
  </si>
  <si>
    <t>Первоначальная оценка ЧИА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</si>
</sst>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9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A705-4575-C942-87DD-E1708265AB07}">
  <dimension ref="A2:J63"/>
  <sheetViews>
    <sheetView zoomScale="110" zoomScaleNormal="110" workbookViewId="0">
      <selection activeCell="D6" sqref="D6"/>
    </sheetView>
  </sheetViews>
  <sheetFormatPr baseColWidth="10" defaultRowHeight="16" x14ac:dyDescent="0.2"/>
  <cols>
    <col min="2" max="2" width="30.5" customWidth="1"/>
    <col min="3" max="3" width="11.6640625" customWidth="1"/>
    <col min="4" max="4" width="11.83203125" customWidth="1"/>
    <col min="5" max="5" width="11.6640625" customWidth="1"/>
    <col min="6" max="6" width="11.83203125" customWidth="1"/>
    <col min="7" max="7" width="24.83203125" customWidth="1"/>
    <col min="8" max="8" width="13.1640625" customWidth="1"/>
    <col min="9" max="9" width="11.83203125" customWidth="1"/>
    <col min="10" max="10" width="12.83203125" customWidth="1"/>
    <col min="12" max="12" width="24.6640625" customWidth="1"/>
    <col min="13" max="13" width="11.6640625" bestFit="1" customWidth="1"/>
  </cols>
  <sheetData>
    <row r="2" spans="2:10" x14ac:dyDescent="0.2">
      <c r="B2" s="6" t="s">
        <v>33</v>
      </c>
      <c r="F2" s="6" t="s">
        <v>17</v>
      </c>
      <c r="H2" s="8">
        <v>44927</v>
      </c>
      <c r="I2" s="8">
        <v>45017</v>
      </c>
      <c r="J2" s="8">
        <v>45292</v>
      </c>
    </row>
    <row r="4" spans="2:10" x14ac:dyDescent="0.2">
      <c r="B4" t="s">
        <v>7</v>
      </c>
      <c r="C4" s="1">
        <v>1800000</v>
      </c>
      <c r="F4" t="s">
        <v>8</v>
      </c>
      <c r="G4" t="s">
        <v>9</v>
      </c>
      <c r="H4" s="1"/>
      <c r="I4" s="1">
        <f>C15</f>
        <v>1499999.9999999967</v>
      </c>
      <c r="J4" s="1">
        <f>I4</f>
        <v>1499999.9999999967</v>
      </c>
    </row>
    <row r="5" spans="2:10" x14ac:dyDescent="0.2">
      <c r="B5" t="s">
        <v>0</v>
      </c>
      <c r="C5" s="2">
        <v>0.1</v>
      </c>
      <c r="F5" t="s">
        <v>28</v>
      </c>
      <c r="G5" t="s">
        <v>29</v>
      </c>
      <c r="H5" s="1"/>
      <c r="I5" s="1">
        <f>H19</f>
        <v>-83333.333333333154</v>
      </c>
      <c r="J5" s="1">
        <f>I19</f>
        <v>-458333.33333333232</v>
      </c>
    </row>
    <row r="6" spans="2:10" x14ac:dyDescent="0.2">
      <c r="B6" t="s">
        <v>3</v>
      </c>
      <c r="C6" s="1">
        <v>1500</v>
      </c>
      <c r="D6" s="3"/>
      <c r="E6" s="3"/>
      <c r="F6" t="s">
        <v>21</v>
      </c>
      <c r="G6" t="s">
        <v>22</v>
      </c>
      <c r="H6" s="1">
        <f>H10</f>
        <v>1000000</v>
      </c>
      <c r="I6" s="1">
        <f>H6-SUM(B28:B29)-C4*C5/1.2</f>
        <v>752333.33333333337</v>
      </c>
      <c r="J6" s="1">
        <f>H6-SUM(B28:B38)-C4*C5/1.2</f>
        <v>312833.33333333337</v>
      </c>
    </row>
    <row r="7" spans="2:10" x14ac:dyDescent="0.2">
      <c r="B7" t="s">
        <v>1</v>
      </c>
      <c r="C7">
        <v>36</v>
      </c>
      <c r="D7" s="3"/>
      <c r="E7" s="3"/>
    </row>
    <row r="8" spans="2:10" x14ac:dyDescent="0.2">
      <c r="B8" t="s">
        <v>2</v>
      </c>
      <c r="C8" s="1">
        <v>58600</v>
      </c>
      <c r="F8" s="6" t="s">
        <v>12</v>
      </c>
      <c r="G8" s="6"/>
      <c r="H8" s="7">
        <f>SUM(H4:H7)</f>
        <v>1000000</v>
      </c>
      <c r="I8" s="7">
        <f>SUM(I4:I7)</f>
        <v>2168999.9999999967</v>
      </c>
      <c r="J8" s="7">
        <f>SUM(J4:J7)</f>
        <v>1354499.9999999977</v>
      </c>
    </row>
    <row r="9" spans="2:10" x14ac:dyDescent="0.2">
      <c r="B9" t="s">
        <v>40</v>
      </c>
      <c r="C9" s="4">
        <v>44941</v>
      </c>
      <c r="F9" s="6"/>
      <c r="G9" s="6"/>
      <c r="H9" s="7"/>
      <c r="I9" s="7"/>
      <c r="J9" s="7"/>
    </row>
    <row r="10" spans="2:10" x14ac:dyDescent="0.2">
      <c r="F10" t="s">
        <v>26</v>
      </c>
      <c r="G10" t="s">
        <v>27</v>
      </c>
      <c r="H10" s="1">
        <v>1000000</v>
      </c>
      <c r="I10" s="1">
        <v>1000000</v>
      </c>
      <c r="J10" s="1">
        <f>I10</f>
        <v>1000000</v>
      </c>
    </row>
    <row r="11" spans="2:10" x14ac:dyDescent="0.2">
      <c r="B11" s="6" t="s">
        <v>34</v>
      </c>
      <c r="F11" t="s">
        <v>23</v>
      </c>
      <c r="G11" t="s">
        <v>24</v>
      </c>
      <c r="H11" s="1">
        <v>0</v>
      </c>
      <c r="I11" s="1">
        <f>H22</f>
        <v>-133250.1081873806</v>
      </c>
      <c r="J11" s="1">
        <f>I22</f>
        <v>-616910.47301239241</v>
      </c>
    </row>
    <row r="12" spans="2:10" x14ac:dyDescent="0.2">
      <c r="B12" t="s">
        <v>4</v>
      </c>
      <c r="C12" s="3">
        <f>((C13+1)^(1/12)-1)*12</f>
        <v>0.18087786090400826</v>
      </c>
      <c r="F12" t="s">
        <v>13</v>
      </c>
      <c r="G12" t="s">
        <v>14</v>
      </c>
      <c r="H12" s="1"/>
      <c r="I12" s="1">
        <f>G29</f>
        <v>1302250.1081873775</v>
      </c>
      <c r="J12" s="1">
        <f>I39</f>
        <v>971410.4730123902</v>
      </c>
    </row>
    <row r="13" spans="2:10" x14ac:dyDescent="0.2">
      <c r="B13" t="s">
        <v>5</v>
      </c>
      <c r="C13" s="3">
        <f>B26</f>
        <v>0.19665265679359442</v>
      </c>
    </row>
    <row r="14" spans="2:10" ht="20" customHeight="1" x14ac:dyDescent="0.2">
      <c r="B14" s="5" t="s">
        <v>10</v>
      </c>
      <c r="C14" s="1">
        <f>D27</f>
        <v>1349999.9999999967</v>
      </c>
      <c r="F14" s="6" t="s">
        <v>15</v>
      </c>
      <c r="G14" s="6"/>
      <c r="H14" s="7">
        <f>SUM(H10:H13)</f>
        <v>1000000</v>
      </c>
      <c r="I14" s="7">
        <f>SUM(I10:I13)</f>
        <v>2168999.9999999967</v>
      </c>
      <c r="J14" s="7">
        <f>SUM(J10:J13)</f>
        <v>1354499.9999999977</v>
      </c>
    </row>
    <row r="15" spans="2:10" x14ac:dyDescent="0.2">
      <c r="B15" s="5" t="s">
        <v>11</v>
      </c>
      <c r="C15" s="1">
        <f>C14+C4*C5/1.2</f>
        <v>1499999.9999999967</v>
      </c>
      <c r="H15" s="1">
        <f>H8-H14</f>
        <v>0</v>
      </c>
      <c r="I15" s="1">
        <f>I8-I14</f>
        <v>0</v>
      </c>
      <c r="J15" s="1">
        <f>J8-J14</f>
        <v>0</v>
      </c>
    </row>
    <row r="16" spans="2:10" x14ac:dyDescent="0.2">
      <c r="B16" t="s">
        <v>19</v>
      </c>
      <c r="C16" s="1">
        <f>C15/C7</f>
        <v>41666.666666666577</v>
      </c>
    </row>
    <row r="17" spans="1:9" x14ac:dyDescent="0.2">
      <c r="F17" s="6" t="s">
        <v>43</v>
      </c>
    </row>
    <row r="18" spans="1:9" x14ac:dyDescent="0.2">
      <c r="H18" s="6" t="s">
        <v>42</v>
      </c>
      <c r="I18" s="6" t="s">
        <v>44</v>
      </c>
    </row>
    <row r="19" spans="1:9" x14ac:dyDescent="0.2">
      <c r="G19" t="s">
        <v>18</v>
      </c>
      <c r="H19" s="1">
        <f>-C16*2</f>
        <v>-83333.333333333154</v>
      </c>
      <c r="I19" s="1">
        <f>-C16*11</f>
        <v>-458333.33333333232</v>
      </c>
    </row>
    <row r="20" spans="1:9" x14ac:dyDescent="0.2">
      <c r="G20" t="s">
        <v>20</v>
      </c>
      <c r="H20" s="1">
        <f>-SUM(B28:B29)+C14-G29</f>
        <v>-49916.774854047457</v>
      </c>
      <c r="I20" s="1">
        <f>-SUM(B28:B38)+C14-I39</f>
        <v>-158577.13967906008</v>
      </c>
    </row>
    <row r="22" spans="1:9" x14ac:dyDescent="0.2">
      <c r="F22" s="6" t="s">
        <v>25</v>
      </c>
      <c r="G22" s="6"/>
      <c r="H22" s="7">
        <f>SUM(H19:H21)</f>
        <v>-133250.1081873806</v>
      </c>
      <c r="I22" s="7">
        <f>SUM(I19:I21)</f>
        <v>-616910.47301239241</v>
      </c>
    </row>
    <row r="24" spans="1:9" x14ac:dyDescent="0.2">
      <c r="B24" t="s">
        <v>6</v>
      </c>
      <c r="C24" s="1"/>
      <c r="G24" t="s">
        <v>39</v>
      </c>
    </row>
    <row r="25" spans="1:9" x14ac:dyDescent="0.2">
      <c r="G25" t="s">
        <v>41</v>
      </c>
      <c r="I25" t="s">
        <v>38</v>
      </c>
    </row>
    <row r="26" spans="1:9" x14ac:dyDescent="0.2">
      <c r="A26" s="3"/>
      <c r="B26" s="3">
        <f>XIRR(B27:B63,C27:C63)</f>
        <v>0.19665265679359442</v>
      </c>
      <c r="D26" s="3">
        <v>0.19665265690078179</v>
      </c>
      <c r="E26" s="3"/>
    </row>
    <row r="27" spans="1:9" x14ac:dyDescent="0.2">
      <c r="A27">
        <v>0</v>
      </c>
      <c r="B27" s="1">
        <f>(-C4+C5*C4)/1.2</f>
        <v>-1350000</v>
      </c>
      <c r="C27" s="4">
        <f>C9</f>
        <v>44941</v>
      </c>
      <c r="D27" s="1">
        <f>SUM(D28:D63)</f>
        <v>1349999.9999999967</v>
      </c>
      <c r="E27" s="1"/>
      <c r="G27" s="7"/>
      <c r="H27" s="1"/>
    </row>
    <row r="28" spans="1:9" x14ac:dyDescent="0.2">
      <c r="A28">
        <v>1</v>
      </c>
      <c r="B28" s="1">
        <f>C8/1.2</f>
        <v>48833.333333333336</v>
      </c>
      <c r="C28" s="4">
        <f>EDATE(C$27,A28)</f>
        <v>44972</v>
      </c>
      <c r="D28" s="1">
        <f>B28/(1+D$26)^((C28-C$27)/365)</f>
        <v>48094.39001929605</v>
      </c>
      <c r="E28" s="1"/>
      <c r="G28" s="1"/>
      <c r="H28" s="1"/>
    </row>
    <row r="29" spans="1:9" x14ac:dyDescent="0.2">
      <c r="A29">
        <v>2</v>
      </c>
      <c r="B29" s="1">
        <f>B28</f>
        <v>48833.333333333336</v>
      </c>
      <c r="C29" s="4">
        <f>EDATE(C$27,A29)</f>
        <v>45000</v>
      </c>
      <c r="D29" s="1">
        <f>B29/(1+D$26)^((C29-C$27)/365)</f>
        <v>47436.572925811663</v>
      </c>
      <c r="E29" s="1"/>
      <c r="F29" s="4">
        <v>45017</v>
      </c>
      <c r="G29" s="7">
        <f>SUM(G30:G63)</f>
        <v>1302250.1081873775</v>
      </c>
      <c r="H29" s="7"/>
      <c r="I29" s="1"/>
    </row>
    <row r="30" spans="1:9" x14ac:dyDescent="0.2">
      <c r="A30">
        <v>3</v>
      </c>
      <c r="B30" s="1">
        <f>B29</f>
        <v>48833.333333333336</v>
      </c>
      <c r="C30" s="4">
        <f>EDATE(C$27,A30)</f>
        <v>45031</v>
      </c>
      <c r="D30" s="1">
        <f>B30/(1+D$26)^((C30-C$27)/365)</f>
        <v>46718.76531343547</v>
      </c>
      <c r="E30" s="1"/>
      <c r="F30" s="4">
        <f>C30</f>
        <v>45031</v>
      </c>
      <c r="G30" s="1">
        <f>B30/(1+B$26)^((F30-F$29)/365)</f>
        <v>48498.221462502857</v>
      </c>
      <c r="H30" s="1"/>
      <c r="I30" s="1"/>
    </row>
    <row r="31" spans="1:9" x14ac:dyDescent="0.2">
      <c r="A31">
        <v>4</v>
      </c>
      <c r="B31" s="1">
        <f>B30</f>
        <v>48833.333333333336</v>
      </c>
      <c r="C31" s="4">
        <f>EDATE(C$27,A31)</f>
        <v>45061</v>
      </c>
      <c r="D31" s="1">
        <f>B31/(1+D$26)^((C31-C$27)/365)</f>
        <v>46034.456379093761</v>
      </c>
      <c r="E31" s="1"/>
      <c r="F31" s="4">
        <f>C31</f>
        <v>45061</v>
      </c>
      <c r="G31" s="1">
        <f>B31/(1+B$26)^((F31-F$29)/365)</f>
        <v>47787.848103802542</v>
      </c>
      <c r="H31" s="1"/>
      <c r="I31" s="1"/>
    </row>
    <row r="32" spans="1:9" x14ac:dyDescent="0.2">
      <c r="A32">
        <v>5</v>
      </c>
      <c r="B32" s="1">
        <f>B31</f>
        <v>48833.333333333336</v>
      </c>
      <c r="C32" s="4">
        <f>EDATE(C$27,A32)</f>
        <v>45092</v>
      </c>
      <c r="D32" s="1">
        <f>B32/(1+D$26)^((C32-C$27)/365)</f>
        <v>45337.865517182392</v>
      </c>
      <c r="E32" s="1"/>
      <c r="F32" s="4">
        <f>C32</f>
        <v>45092</v>
      </c>
      <c r="G32" s="1">
        <f>B32/(1+B$26)^((F32-F$29)/365)</f>
        <v>47064.725015112112</v>
      </c>
      <c r="H32" s="1"/>
      <c r="I32" s="1"/>
    </row>
    <row r="33" spans="1:9" x14ac:dyDescent="0.2">
      <c r="A33">
        <v>6</v>
      </c>
      <c r="B33" s="1">
        <f>B32</f>
        <v>48833.333333333336</v>
      </c>
      <c r="C33" s="4">
        <f>EDATE(C$27,A33)</f>
        <v>45122</v>
      </c>
      <c r="D33" s="1">
        <f>B33/(1+D$26)^((C33-C$27)/365)</f>
        <v>44673.783189037713</v>
      </c>
      <c r="E33" s="1"/>
      <c r="F33" s="4">
        <f>C33</f>
        <v>45122</v>
      </c>
      <c r="G33" s="1">
        <f>B33/(1+B$26)^((F33-F$29)/365)</f>
        <v>46375.348667339407</v>
      </c>
      <c r="H33" s="1"/>
      <c r="I33" s="1"/>
    </row>
    <row r="34" spans="1:9" x14ac:dyDescent="0.2">
      <c r="A34">
        <v>7</v>
      </c>
      <c r="B34" s="1">
        <f>B33</f>
        <v>48833.333333333336</v>
      </c>
      <c r="C34" s="4">
        <f>EDATE(C$27,A34)</f>
        <v>45153</v>
      </c>
      <c r="D34" s="1">
        <f>B34/(1+D$26)^((C34-C$27)/365)</f>
        <v>43997.781958997635</v>
      </c>
      <c r="E34" s="1"/>
      <c r="F34" s="4">
        <f>C34</f>
        <v>45153</v>
      </c>
      <c r="G34" s="1">
        <f>B34/(1+B$26)^((F34-F$29)/365)</f>
        <v>45673.599442419742</v>
      </c>
      <c r="H34" s="1"/>
      <c r="I34" s="1"/>
    </row>
    <row r="35" spans="1:9" x14ac:dyDescent="0.2">
      <c r="A35">
        <v>8</v>
      </c>
      <c r="B35" s="1">
        <f>B34</f>
        <v>48833.333333333336</v>
      </c>
      <c r="C35" s="4">
        <f>EDATE(C$27,A35)</f>
        <v>45184</v>
      </c>
      <c r="D35" s="1">
        <f>B35/(1+D$26)^((C35-C$27)/365)</f>
        <v>43332.009942388657</v>
      </c>
      <c r="E35" s="1"/>
      <c r="F35" s="4">
        <f>C35</f>
        <v>45184</v>
      </c>
      <c r="G35" s="1">
        <f>B35/(1+B$26)^((F35-F$29)/365)</f>
        <v>44982.469048168234</v>
      </c>
      <c r="H35" s="1"/>
      <c r="I35" s="1"/>
    </row>
    <row r="36" spans="1:9" x14ac:dyDescent="0.2">
      <c r="A36">
        <v>9</v>
      </c>
      <c r="B36" s="1">
        <f>B35</f>
        <v>48833.333333333336</v>
      </c>
      <c r="C36" s="4">
        <f>EDATE(C$27,A36)</f>
        <v>45214</v>
      </c>
      <c r="D36" s="1">
        <f>B36/(1+D$26)^((C36-C$27)/365)</f>
        <v>42697.308204283589</v>
      </c>
      <c r="E36" s="1"/>
      <c r="F36" s="4">
        <f>C36</f>
        <v>45214</v>
      </c>
      <c r="G36" s="1">
        <f>B36/(1+B$26)^((F36-F$29)/365)</f>
        <v>44323.592358327427</v>
      </c>
      <c r="H36" s="1"/>
      <c r="I36" s="1"/>
    </row>
    <row r="37" spans="1:9" x14ac:dyDescent="0.2">
      <c r="A37">
        <v>10</v>
      </c>
      <c r="B37" s="1">
        <f>B36</f>
        <v>48833.333333333336</v>
      </c>
      <c r="C37" s="4">
        <f>EDATE(C$27,A37)</f>
        <v>45245</v>
      </c>
      <c r="D37" s="1">
        <f>B37/(1+D$26)^((C37-C$27)/365)</f>
        <v>42051.214885001449</v>
      </c>
      <c r="E37" s="1"/>
      <c r="F37" s="4">
        <f>C37</f>
        <v>45245</v>
      </c>
      <c r="G37" s="1">
        <f>B37/(1+B$26)^((F37-F$29)/365)</f>
        <v>43652.890197008324</v>
      </c>
      <c r="H37" s="1"/>
      <c r="I37" s="1"/>
    </row>
    <row r="38" spans="1:9" x14ac:dyDescent="0.2">
      <c r="A38">
        <v>11</v>
      </c>
      <c r="B38" s="1">
        <f>B37</f>
        <v>48833.333333333336</v>
      </c>
      <c r="C38" s="4">
        <f>EDATE(C$27,A38)</f>
        <v>45275</v>
      </c>
      <c r="D38" s="1">
        <f>B38/(1+D$26)^((C38-C$27)/365)</f>
        <v>41435.273477888666</v>
      </c>
      <c r="E38" s="1"/>
      <c r="F38" s="4">
        <f>C38</f>
        <v>45275</v>
      </c>
      <c r="G38" s="1">
        <f>B38/(1+B$26)^((F38-F$29)/365)</f>
        <v>43013.488394404063</v>
      </c>
      <c r="H38" s="1"/>
      <c r="I38" s="1"/>
    </row>
    <row r="39" spans="1:9" x14ac:dyDescent="0.2">
      <c r="A39">
        <v>12</v>
      </c>
      <c r="B39" s="1">
        <f>B38</f>
        <v>48833.333333333336</v>
      </c>
      <c r="C39" s="4">
        <f>EDATE(C$27,A39)</f>
        <v>45306</v>
      </c>
      <c r="D39" s="1">
        <f>B39/(1+D$26)^((C39-C$27)/365)</f>
        <v>40808.277198671072</v>
      </c>
      <c r="E39" s="1"/>
      <c r="F39" s="4">
        <f>C39</f>
        <v>45306</v>
      </c>
      <c r="G39" s="1">
        <f>B39/(1+B$26)^((F39-F$29)/365)</f>
        <v>42362.610654198048</v>
      </c>
      <c r="H39" s="4">
        <v>45292</v>
      </c>
      <c r="I39" s="7">
        <f>SUM(I40:I63)</f>
        <v>971410.4730123902</v>
      </c>
    </row>
    <row r="40" spans="1:9" x14ac:dyDescent="0.2">
      <c r="A40">
        <v>13</v>
      </c>
      <c r="B40" s="1">
        <f>B39</f>
        <v>48833.333333333336</v>
      </c>
      <c r="C40" s="4">
        <f>EDATE(C$27,A40)</f>
        <v>45337</v>
      </c>
      <c r="D40" s="1">
        <f>B40/(1+D$26)^((C40-C$27)/365)</f>
        <v>40190.76859266415</v>
      </c>
      <c r="E40" s="1"/>
      <c r="F40" s="4">
        <f>C40</f>
        <v>45337</v>
      </c>
      <c r="G40" s="1">
        <f>B40/(1+B$26)^((F40-F$29)/365)</f>
        <v>41721.581960151947</v>
      </c>
      <c r="H40" s="4">
        <f>F40</f>
        <v>45337</v>
      </c>
      <c r="I40" s="1">
        <f>B40/(1+B$26)^((H40-H$39)/365)</f>
        <v>47764.349043226313</v>
      </c>
    </row>
    <row r="41" spans="1:9" x14ac:dyDescent="0.2">
      <c r="A41">
        <v>14</v>
      </c>
      <c r="B41" s="1">
        <f>B40</f>
        <v>48833.333333333336</v>
      </c>
      <c r="C41" s="4">
        <f>EDATE(C$27,A41)</f>
        <v>45366</v>
      </c>
      <c r="D41" s="1">
        <f>B41/(1+D$26)^((C41-C$27)/365)</f>
        <v>39621.561300066038</v>
      </c>
      <c r="E41" s="1"/>
      <c r="F41" s="4">
        <f>C41</f>
        <v>45366</v>
      </c>
      <c r="G41" s="1">
        <f>B41/(1+B$26)^((F41-F$29)/365)</f>
        <v>41130.694312807515</v>
      </c>
      <c r="H41" s="4">
        <f t="shared" ref="H41:H63" si="0">F41</f>
        <v>45366</v>
      </c>
      <c r="I41" s="1">
        <f>B41/(1+B$26)^((H41-H$39)/365)</f>
        <v>47087.879875301514</v>
      </c>
    </row>
    <row r="42" spans="1:9" x14ac:dyDescent="0.2">
      <c r="A42">
        <v>15</v>
      </c>
      <c r="B42" s="1">
        <f>B41</f>
        <v>48833.333333333336</v>
      </c>
      <c r="C42" s="4">
        <f>EDATE(C$27,A42)</f>
        <v>45397</v>
      </c>
      <c r="D42" s="1">
        <f>B42/(1+D$26)^((C42-C$27)/365)</f>
        <v>39022.010013764295</v>
      </c>
      <c r="E42" s="1"/>
      <c r="F42" s="4">
        <f>C42</f>
        <v>45397</v>
      </c>
      <c r="G42" s="1">
        <f>B42/(1+B$26)^((F42-F$29)/365)</f>
        <v>40508.306909071442</v>
      </c>
      <c r="H42" s="4">
        <f t="shared" si="0"/>
        <v>45397</v>
      </c>
      <c r="I42" s="1">
        <f>B42/(1+B$26)^((H42-H$39)/365)</f>
        <v>46375.348667339407</v>
      </c>
    </row>
    <row r="43" spans="1:9" x14ac:dyDescent="0.2">
      <c r="A43">
        <v>16</v>
      </c>
      <c r="B43" s="1">
        <f>B42</f>
        <v>48833.333333333336</v>
      </c>
      <c r="C43" s="4">
        <f>EDATE(C$27,A43)</f>
        <v>45427</v>
      </c>
      <c r="D43" s="1">
        <f>B43/(1+D$26)^((C43-C$27)/365)</f>
        <v>38450.438613937265</v>
      </c>
      <c r="E43" s="1"/>
      <c r="F43" s="4">
        <f>C43</f>
        <v>45427</v>
      </c>
      <c r="G43" s="1">
        <f>B43/(1+B$26)^((F43-F$29)/365)</f>
        <v>39914.965108764212</v>
      </c>
      <c r="H43" s="4">
        <f t="shared" si="0"/>
        <v>45427</v>
      </c>
      <c r="I43" s="1">
        <f>B43/(1+B$26)^((H43-H$39)/365)</f>
        <v>45696.069897927482</v>
      </c>
    </row>
    <row r="44" spans="1:9" x14ac:dyDescent="0.2">
      <c r="A44">
        <v>17</v>
      </c>
      <c r="B44" s="1">
        <f>B43</f>
        <v>48833.333333333336</v>
      </c>
      <c r="C44" s="4">
        <f>EDATE(C$27,A44)</f>
        <v>45458</v>
      </c>
      <c r="D44" s="1">
        <f>B44/(1+D$26)^((C44-C$27)/365)</f>
        <v>37868.608691707166</v>
      </c>
      <c r="E44" s="1"/>
      <c r="F44" s="4">
        <f>C44</f>
        <v>45458</v>
      </c>
      <c r="G44" s="1">
        <f>B44/(1+B$26)^((F44-F$29)/365)</f>
        <v>39310.974052466285</v>
      </c>
      <c r="H44" s="4">
        <f t="shared" si="0"/>
        <v>45458</v>
      </c>
      <c r="I44" s="1">
        <f>B44/(1+B$26)^((H44-H$39)/365)</f>
        <v>45004.599481979327</v>
      </c>
    </row>
    <row r="45" spans="1:9" x14ac:dyDescent="0.2">
      <c r="A45">
        <v>18</v>
      </c>
      <c r="B45" s="1">
        <f>B44</f>
        <v>48833.333333333336</v>
      </c>
      <c r="C45" s="4">
        <f>EDATE(C$27,A45)</f>
        <v>45488</v>
      </c>
      <c r="D45" s="1">
        <f>B45/(1+D$26)^((C45-C$27)/365)</f>
        <v>37313.931634533888</v>
      </c>
      <c r="E45" s="1"/>
      <c r="F45" s="4">
        <f>C45</f>
        <v>45488</v>
      </c>
      <c r="G45" s="1">
        <f>B45/(1+B$26)^((F45-F$29)/365)</f>
        <v>38735.170078025236</v>
      </c>
      <c r="H45" s="4">
        <f t="shared" si="0"/>
        <v>45488</v>
      </c>
      <c r="I45" s="1">
        <f>B45/(1+B$26)^((H45-H$39)/365)</f>
        <v>44345.398638589759</v>
      </c>
    </row>
    <row r="46" spans="1:9" x14ac:dyDescent="0.2">
      <c r="A46">
        <v>19</v>
      </c>
      <c r="B46" s="1">
        <f>B45</f>
        <v>48833.333333333336</v>
      </c>
      <c r="C46" s="4">
        <f>EDATE(C$27,A46)</f>
        <v>45519</v>
      </c>
      <c r="D46" s="1">
        <f>B46/(1+D$26)^((C46-C$27)/365)</f>
        <v>36749.299273405224</v>
      </c>
      <c r="E46" s="1"/>
      <c r="F46" s="4">
        <f>C46</f>
        <v>45519</v>
      </c>
      <c r="G46" s="1">
        <f>B46/(1+B$26)^((F46-F$29)/365)</f>
        <v>38149.031615231761</v>
      </c>
      <c r="H46" s="4">
        <f t="shared" si="0"/>
        <v>45519</v>
      </c>
      <c r="I46" s="1">
        <f>B46/(1+B$26)^((H46-H$39)/365)</f>
        <v>43674.366505837294</v>
      </c>
    </row>
    <row r="47" spans="1:9" x14ac:dyDescent="0.2">
      <c r="A47">
        <v>20</v>
      </c>
      <c r="B47" s="1">
        <f>B46</f>
        <v>48833.333333333336</v>
      </c>
      <c r="C47" s="4">
        <f>EDATE(C$27,A47)</f>
        <v>45550</v>
      </c>
      <c r="D47" s="1">
        <f>B47/(1+D$26)^((C47-C$27)/365)</f>
        <v>36193.210898108882</v>
      </c>
      <c r="E47" s="1"/>
      <c r="F47" s="4">
        <f>C47</f>
        <v>45550</v>
      </c>
      <c r="G47" s="1">
        <f>B47/(1+B$26)^((F47-F$29)/365)</f>
        <v>37571.762567413716</v>
      </c>
      <c r="H47" s="4">
        <f t="shared" si="0"/>
        <v>45550</v>
      </c>
      <c r="I47" s="1">
        <f>B47/(1+B$26)^((H47-H$39)/365)</f>
        <v>43013.488394404063</v>
      </c>
    </row>
    <row r="48" spans="1:9" x14ac:dyDescent="0.2">
      <c r="A48">
        <v>21</v>
      </c>
      <c r="B48" s="1">
        <f>B47</f>
        <v>48833.333333333336</v>
      </c>
      <c r="C48" s="4">
        <f>EDATE(C$27,A48)</f>
        <v>45580</v>
      </c>
      <c r="D48" s="1">
        <f>B48/(1+D$26)^((C48-C$27)/365)</f>
        <v>35663.074080195867</v>
      </c>
      <c r="E48" s="1"/>
      <c r="F48" s="4">
        <f>C48</f>
        <v>45580</v>
      </c>
      <c r="G48" s="1">
        <f>B48/(1+B$26)^((F48-F$29)/365)</f>
        <v>37021.433537555575</v>
      </c>
      <c r="H48" s="4">
        <f t="shared" si="0"/>
        <v>45580</v>
      </c>
      <c r="I48" s="1">
        <f>B48/(1+B$26)^((H48-H$39)/365)</f>
        <v>42383.452172482517</v>
      </c>
    </row>
    <row r="49" spans="1:9" x14ac:dyDescent="0.2">
      <c r="A49">
        <v>22</v>
      </c>
      <c r="B49" s="1">
        <f>B48</f>
        <v>48833.333333333336</v>
      </c>
      <c r="C49" s="4">
        <f>EDATE(C$27,A49)</f>
        <v>45611</v>
      </c>
      <c r="D49" s="1">
        <f>B49/(1+D$26)^((C49-C$27)/365)</f>
        <v>35123.422404777913</v>
      </c>
      <c r="E49" s="1"/>
      <c r="F49" s="4">
        <f>C49</f>
        <v>45611</v>
      </c>
      <c r="G49" s="1">
        <f>B49/(1+B$26)^((F49-F$29)/365)</f>
        <v>36461.227241819601</v>
      </c>
      <c r="H49" s="4">
        <f t="shared" si="0"/>
        <v>45611</v>
      </c>
      <c r="I49" s="1">
        <f>B49/(1+B$26)^((H49-H$39)/365)</f>
        <v>41742.108105728235</v>
      </c>
    </row>
    <row r="50" spans="1:9" x14ac:dyDescent="0.2">
      <c r="A50">
        <v>23</v>
      </c>
      <c r="B50" s="1">
        <f>B49</f>
        <v>48833.333333333336</v>
      </c>
      <c r="C50" s="4">
        <f>EDATE(C$27,A50)</f>
        <v>45641</v>
      </c>
      <c r="D50" s="1">
        <f>B50/(1+D$26)^((C50-C$27)/365)</f>
        <v>34608.955218091898</v>
      </c>
      <c r="E50" s="1"/>
      <c r="F50" s="4">
        <f>C50</f>
        <v>45641</v>
      </c>
      <c r="G50" s="1">
        <f>B50/(1+B$26)^((F50-F$29)/365)</f>
        <v>35927.164678759778</v>
      </c>
      <c r="H50" s="4">
        <f t="shared" si="0"/>
        <v>45641</v>
      </c>
      <c r="I50" s="1">
        <f>B50/(1+B$26)^((H50-H$39)/365)</f>
        <v>41130.694312807515</v>
      </c>
    </row>
    <row r="51" spans="1:9" x14ac:dyDescent="0.2">
      <c r="A51">
        <v>24</v>
      </c>
      <c r="B51" s="1">
        <f>B50</f>
        <v>48833.333333333336</v>
      </c>
      <c r="C51" s="4">
        <f>EDATE(C$27,A51)</f>
        <v>45672</v>
      </c>
      <c r="D51" s="1">
        <f>B51/(1+D$26)^((C51-C$27)/365)</f>
        <v>34085.25441131596</v>
      </c>
      <c r="E51" s="1"/>
      <c r="F51" s="4">
        <f>C51</f>
        <v>45672</v>
      </c>
      <c r="G51" s="1">
        <f>B51/(1+B$26)^((F51-F$29)/365)</f>
        <v>35383.51679919922</v>
      </c>
      <c r="H51" s="4">
        <f t="shared" si="0"/>
        <v>45672</v>
      </c>
      <c r="I51" s="1">
        <f>B51/(1+B$26)^((H51-H$39)/365)</f>
        <v>40508.306909071442</v>
      </c>
    </row>
    <row r="52" spans="1:9" x14ac:dyDescent="0.2">
      <c r="A52">
        <v>25</v>
      </c>
      <c r="B52" s="1">
        <f>B51</f>
        <v>48833.333333333336</v>
      </c>
      <c r="C52" s="4">
        <f>EDATE(C$27,A52)</f>
        <v>45703</v>
      </c>
      <c r="D52" s="1">
        <f>B52/(1+D$26)^((C52-C$27)/365)</f>
        <v>33569.478216343232</v>
      </c>
      <c r="E52" s="1"/>
      <c r="F52" s="4">
        <f>C52</f>
        <v>45703</v>
      </c>
      <c r="G52" s="1">
        <f>B52/(1+B$26)^((F52-F$29)/365)</f>
        <v>34848.095369446019</v>
      </c>
      <c r="H52" s="4">
        <f t="shared" si="0"/>
        <v>45703</v>
      </c>
      <c r="I52" s="1">
        <f>B52/(1+B$26)^((H52-H$39)/365)</f>
        <v>39895.337437291084</v>
      </c>
    </row>
    <row r="53" spans="1:9" x14ac:dyDescent="0.2">
      <c r="A53">
        <v>26</v>
      </c>
      <c r="B53" s="1">
        <f>B52</f>
        <v>48833.333333333336</v>
      </c>
      <c r="C53" s="4">
        <f>EDATE(C$27,A53)</f>
        <v>45731</v>
      </c>
      <c r="D53" s="1">
        <f>B53/(1+D$26)^((C53-C$27)/365)</f>
        <v>33110.327438441629</v>
      </c>
      <c r="E53" s="1"/>
      <c r="F53" s="4">
        <f>C53</f>
        <v>45731</v>
      </c>
      <c r="G53" s="1">
        <f>B53/(1+B$26)^((F53-F$29)/365)</f>
        <v>34371.456144188356</v>
      </c>
      <c r="H53" s="4">
        <f t="shared" si="0"/>
        <v>45731</v>
      </c>
      <c r="I53" s="1">
        <f>B53/(1+B$26)^((H53-H$39)/365)</f>
        <v>39349.663921252213</v>
      </c>
    </row>
    <row r="54" spans="1:9" x14ac:dyDescent="0.2">
      <c r="A54">
        <v>27</v>
      </c>
      <c r="B54" s="1">
        <f>B53</f>
        <v>48833.333333333336</v>
      </c>
      <c r="C54" s="4">
        <f>EDATE(C$27,A54)</f>
        <v>45762</v>
      </c>
      <c r="D54" s="1">
        <f>B54/(1+D$26)^((C54-C$27)/365)</f>
        <v>32609.303784798871</v>
      </c>
      <c r="E54" s="1"/>
      <c r="F54" s="4">
        <f>C54</f>
        <v>45762</v>
      </c>
      <c r="G54" s="1">
        <f>B54/(1+B$26)^((F54-F$29)/365)</f>
        <v>33851.349160593178</v>
      </c>
      <c r="H54" s="4">
        <f t="shared" si="0"/>
        <v>45762</v>
      </c>
      <c r="I54" s="1">
        <f>B54/(1+B$26)^((H54-H$39)/365)</f>
        <v>38754.226971426426</v>
      </c>
    </row>
    <row r="55" spans="1:9" x14ac:dyDescent="0.2">
      <c r="A55">
        <v>28</v>
      </c>
      <c r="B55" s="1">
        <f>B54</f>
        <v>48833.333333333336</v>
      </c>
      <c r="C55" s="4">
        <f>EDATE(C$27,A55)</f>
        <v>45792</v>
      </c>
      <c r="D55" s="1">
        <f>B55/(1+D$26)^((C55-C$27)/365)</f>
        <v>32131.661925625351</v>
      </c>
      <c r="E55" s="1"/>
      <c r="F55" s="4">
        <f>C55</f>
        <v>45792</v>
      </c>
      <c r="G55" s="1">
        <f>B55/(1+B$26)^((F55-F$29)/365)</f>
        <v>33355.514553166598</v>
      </c>
      <c r="H55" s="4">
        <f t="shared" si="0"/>
        <v>45792</v>
      </c>
      <c r="I55" s="1">
        <f>B55/(1+B$26)^((H55-H$39)/365)</f>
        <v>38186.577900030854</v>
      </c>
    </row>
    <row r="56" spans="1:9" x14ac:dyDescent="0.2">
      <c r="A56">
        <v>29</v>
      </c>
      <c r="B56" s="1">
        <f>B55</f>
        <v>48833.333333333336</v>
      </c>
      <c r="C56" s="4">
        <f>EDATE(C$27,A56)</f>
        <v>45823</v>
      </c>
      <c r="D56" s="1">
        <f>B56/(1+D$26)^((C56-C$27)/365)</f>
        <v>31645.447384693322</v>
      </c>
      <c r="E56" s="1"/>
      <c r="F56" s="4">
        <f>C56</f>
        <v>45823</v>
      </c>
      <c r="G56" s="1">
        <f>B56/(1+B$26)^((F56-F$29)/365)</f>
        <v>32850.78074183967</v>
      </c>
      <c r="H56" s="4">
        <f t="shared" si="0"/>
        <v>45823</v>
      </c>
      <c r="I56" s="1">
        <f>B56/(1+B$26)^((H56-H$39)/365)</f>
        <v>37608.740703896656</v>
      </c>
    </row>
    <row r="57" spans="1:9" x14ac:dyDescent="0.2">
      <c r="A57">
        <v>30</v>
      </c>
      <c r="B57" s="1">
        <f>B56</f>
        <v>48833.333333333336</v>
      </c>
      <c r="C57" s="4">
        <f>EDATE(C$27,A57)</f>
        <v>45853</v>
      </c>
      <c r="D57" s="1">
        <f>B57/(1+D$26)^((C57-C$27)/365)</f>
        <v>31181.923525890521</v>
      </c>
      <c r="E57" s="1"/>
      <c r="F57" s="4">
        <f>C57</f>
        <v>45853</v>
      </c>
      <c r="G57" s="1">
        <f>B57/(1+B$26)^((F57-F$29)/365)</f>
        <v>32369.601870784547</v>
      </c>
      <c r="H57" s="4">
        <f t="shared" si="0"/>
        <v>45853</v>
      </c>
      <c r="I57" s="1">
        <f>B57/(1+B$26)^((H57-H$39)/365)</f>
        <v>37057.870040093607</v>
      </c>
    </row>
    <row r="58" spans="1:9" x14ac:dyDescent="0.2">
      <c r="A58">
        <v>31</v>
      </c>
      <c r="B58" s="1">
        <f>B57</f>
        <v>48833.333333333336</v>
      </c>
      <c r="C58" s="4">
        <f>EDATE(C$27,A58)</f>
        <v>45884</v>
      </c>
      <c r="D58" s="1">
        <f>B58/(1+D$26)^((C58-C$27)/365)</f>
        <v>30710.08037418516</v>
      </c>
      <c r="E58" s="1"/>
      <c r="F58" s="4">
        <f>C58</f>
        <v>45884</v>
      </c>
      <c r="G58" s="1">
        <f>B58/(1+B$26)^((F58-F$29)/365)</f>
        <v>31879.786835932231</v>
      </c>
      <c r="H58" s="4">
        <f t="shared" si="0"/>
        <v>45884</v>
      </c>
      <c r="I58" s="1">
        <f>B58/(1+B$26)^((H58-H$39)/365)</f>
        <v>36497.112389205598</v>
      </c>
    </row>
    <row r="59" spans="1:9" x14ac:dyDescent="0.2">
      <c r="A59">
        <v>32</v>
      </c>
      <c r="B59" s="1">
        <f>B58</f>
        <v>48833.333333333336</v>
      </c>
      <c r="C59" s="4">
        <f>EDATE(C$27,A59)</f>
        <v>45915</v>
      </c>
      <c r="D59" s="1">
        <f>B59/(1+D$26)^((C59-C$27)/365)</f>
        <v>30245.377127098775</v>
      </c>
      <c r="E59" s="1"/>
      <c r="F59" s="4">
        <f>C59</f>
        <v>45915</v>
      </c>
      <c r="G59" s="1">
        <f>B59/(1+B$26)^((F59-F$29)/365)</f>
        <v>31397.383655242502</v>
      </c>
      <c r="H59" s="4">
        <f t="shared" si="0"/>
        <v>45915</v>
      </c>
      <c r="I59" s="1">
        <f>B59/(1+B$26)^((H59-H$39)/365)</f>
        <v>35944.840092243474</v>
      </c>
    </row>
    <row r="60" spans="1:9" x14ac:dyDescent="0.2">
      <c r="A60">
        <v>33</v>
      </c>
      <c r="B60" s="1">
        <f>B59</f>
        <v>48833.333333333336</v>
      </c>
      <c r="C60" s="4">
        <f>EDATE(C$27,A60)</f>
        <v>45945</v>
      </c>
      <c r="D60" s="1">
        <f>B60/(1+D$26)^((C60-C$27)/365)</f>
        <v>29802.360672110059</v>
      </c>
      <c r="E60" s="1"/>
      <c r="F60" s="4">
        <f>C60</f>
        <v>45945</v>
      </c>
      <c r="G60" s="1">
        <f>B60/(1+B$26)^((F60-F$29)/365)</f>
        <v>30937.493287946836</v>
      </c>
      <c r="H60" s="4">
        <f t="shared" si="0"/>
        <v>45945</v>
      </c>
      <c r="I60" s="1">
        <f>B60/(1+B$26)^((H60-H$39)/365)</f>
        <v>35418.341263744886</v>
      </c>
    </row>
    <row r="61" spans="1:9" x14ac:dyDescent="0.2">
      <c r="A61">
        <v>34</v>
      </c>
      <c r="B61" s="1">
        <f>B60</f>
        <v>48833.333333333336</v>
      </c>
      <c r="C61" s="4">
        <f>EDATE(C$27,A61)</f>
        <v>45976</v>
      </c>
      <c r="D61" s="1">
        <f>B61/(1+D$26)^((C61-C$27)/365)</f>
        <v>29351.392989628486</v>
      </c>
      <c r="E61" s="1"/>
      <c r="F61" s="4">
        <f>C61</f>
        <v>45976</v>
      </c>
      <c r="G61" s="1">
        <f>B61/(1+B$26)^((F61-F$29)/365)</f>
        <v>30469.348841389521</v>
      </c>
      <c r="H61" s="4">
        <f t="shared" si="0"/>
        <v>45976</v>
      </c>
      <c r="I61" s="1">
        <f>B61/(1+B$26)^((H61-H$39)/365)</f>
        <v>34882.392872109878</v>
      </c>
    </row>
    <row r="62" spans="1:9" x14ac:dyDescent="0.2">
      <c r="A62">
        <v>35</v>
      </c>
      <c r="B62" s="1">
        <f>B61</f>
        <v>48833.333333333336</v>
      </c>
      <c r="C62" s="4">
        <f>EDATE(C$27,A62)</f>
        <v>46006</v>
      </c>
      <c r="D62" s="1">
        <f>B62/(1+D$26)^((C62-C$27)/365)</f>
        <v>28921.471087295991</v>
      </c>
      <c r="E62" s="1"/>
      <c r="F62" s="4">
        <f>C62</f>
        <v>46006</v>
      </c>
      <c r="G62" s="1">
        <f>B62/(1+B$26)^((F62-F$29)/365)</f>
        <v>30023.051780978672</v>
      </c>
      <c r="H62" s="4">
        <f t="shared" si="0"/>
        <v>46006</v>
      </c>
      <c r="I62" s="1">
        <f>B62/(1+B$26)^((H62-H$39)/365)</f>
        <v>34371.456144188356</v>
      </c>
    </row>
    <row r="63" spans="1:9" x14ac:dyDescent="0.2">
      <c r="A63">
        <v>36</v>
      </c>
      <c r="B63" s="1">
        <f>B62+'Учет у арендатора'!C6/1.2</f>
        <v>50083.333333333336</v>
      </c>
      <c r="C63" s="4">
        <f>EDATE(C$27,A63)</f>
        <v>46037</v>
      </c>
      <c r="D63" s="1">
        <f>B63/(1+D$26)^((C63-C$27)/365)</f>
        <v>29212.941330228499</v>
      </c>
      <c r="E63" s="1"/>
      <c r="F63" s="4">
        <f>C63</f>
        <v>46037</v>
      </c>
      <c r="G63" s="1">
        <f>B63/(1+B$26)^((F63-F$29)/365)</f>
        <v>30325.623741320385</v>
      </c>
      <c r="H63" s="4">
        <f t="shared" si="0"/>
        <v>46037</v>
      </c>
      <c r="I63" s="1">
        <f>B63/(1+B$26)^((H63-H$39)/365)</f>
        <v>34717.851272212458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33C7-3934-4B40-BCFF-ED8376B20012}">
  <dimension ref="A2:I63"/>
  <sheetViews>
    <sheetView tabSelected="1" workbookViewId="0">
      <selection activeCell="J20" sqref="J20"/>
    </sheetView>
  </sheetViews>
  <sheetFormatPr baseColWidth="10" defaultRowHeight="16" x14ac:dyDescent="0.2"/>
  <cols>
    <col min="2" max="2" width="29.33203125" customWidth="1"/>
    <col min="3" max="3" width="13" customWidth="1"/>
    <col min="5" max="5" width="14" customWidth="1"/>
    <col min="6" max="6" width="27.1640625" customWidth="1"/>
    <col min="7" max="7" width="14" customWidth="1"/>
    <col min="8" max="8" width="12.1640625" customWidth="1"/>
    <col min="9" max="9" width="13.1640625" customWidth="1"/>
    <col min="10" max="10" width="11.6640625" customWidth="1"/>
    <col min="11" max="11" width="27.1640625" customWidth="1"/>
    <col min="12" max="12" width="16.5" customWidth="1"/>
  </cols>
  <sheetData>
    <row r="2" spans="2:9" x14ac:dyDescent="0.2">
      <c r="B2" s="6" t="s">
        <v>33</v>
      </c>
      <c r="E2" s="6" t="s">
        <v>17</v>
      </c>
      <c r="G2" s="8">
        <v>44927</v>
      </c>
      <c r="H2" s="8">
        <v>45017</v>
      </c>
      <c r="I2" s="8">
        <v>45292</v>
      </c>
    </row>
    <row r="3" spans="2:9" x14ac:dyDescent="0.2">
      <c r="E3" s="6"/>
      <c r="F3" s="8"/>
    </row>
    <row r="4" spans="2:9" x14ac:dyDescent="0.2">
      <c r="B4" t="s">
        <v>7</v>
      </c>
      <c r="C4" s="1">
        <v>1800000</v>
      </c>
      <c r="E4" t="s">
        <v>45</v>
      </c>
      <c r="F4" t="s">
        <v>46</v>
      </c>
      <c r="G4" s="1"/>
      <c r="H4" s="1">
        <f>F29</f>
        <v>1318242.5164898727</v>
      </c>
      <c r="I4" s="1">
        <f>H39</f>
        <v>980784.10357821186</v>
      </c>
    </row>
    <row r="5" spans="2:9" x14ac:dyDescent="0.2">
      <c r="B5" t="s">
        <v>0</v>
      </c>
      <c r="C5" s="2">
        <v>0.1</v>
      </c>
      <c r="E5" t="s">
        <v>30</v>
      </c>
      <c r="F5" t="s">
        <v>31</v>
      </c>
      <c r="G5" s="1"/>
      <c r="H5" s="1">
        <v>0</v>
      </c>
      <c r="I5" s="1">
        <v>0</v>
      </c>
    </row>
    <row r="6" spans="2:9" x14ac:dyDescent="0.2">
      <c r="B6" t="s">
        <v>3</v>
      </c>
      <c r="C6" s="1">
        <v>1500</v>
      </c>
      <c r="E6" t="s">
        <v>21</v>
      </c>
      <c r="F6" t="s">
        <v>22</v>
      </c>
      <c r="G6" s="1">
        <v>2000000</v>
      </c>
      <c r="H6" s="1">
        <f>G6+SUM(B28:B29)-C15</f>
        <v>729666.66666666651</v>
      </c>
      <c r="I6" s="1">
        <f>G6+SUM(B28:B38)-C15</f>
        <v>1169166.6666666665</v>
      </c>
    </row>
    <row r="7" spans="2:9" x14ac:dyDescent="0.2">
      <c r="B7" t="s">
        <v>1</v>
      </c>
      <c r="C7">
        <v>36</v>
      </c>
    </row>
    <row r="8" spans="2:9" x14ac:dyDescent="0.2">
      <c r="B8" t="s">
        <v>2</v>
      </c>
      <c r="C8" s="1">
        <v>58600</v>
      </c>
      <c r="E8" s="6" t="s">
        <v>12</v>
      </c>
      <c r="F8" s="6"/>
      <c r="G8" s="7">
        <f>SUM(G4:G7)</f>
        <v>2000000</v>
      </c>
      <c r="H8" s="7">
        <f>SUM(H4:H7)</f>
        <v>2047909.1831565392</v>
      </c>
      <c r="I8" s="7">
        <f>SUM(I4:I7)</f>
        <v>2149950.7702448783</v>
      </c>
    </row>
    <row r="9" spans="2:9" x14ac:dyDescent="0.2">
      <c r="B9" t="s">
        <v>36</v>
      </c>
      <c r="C9" s="1">
        <v>18000</v>
      </c>
      <c r="E9" s="6"/>
      <c r="F9" s="6"/>
      <c r="G9" s="7"/>
      <c r="H9" s="7"/>
      <c r="I9" s="7"/>
    </row>
    <row r="10" spans="2:9" x14ac:dyDescent="0.2">
      <c r="B10" t="s">
        <v>40</v>
      </c>
      <c r="C10" s="4">
        <v>44941</v>
      </c>
      <c r="E10" t="s">
        <v>26</v>
      </c>
      <c r="F10" t="s">
        <v>27</v>
      </c>
      <c r="G10" s="1">
        <v>2000000</v>
      </c>
      <c r="H10" s="1">
        <v>2000000</v>
      </c>
      <c r="I10" s="1">
        <f>H10</f>
        <v>2000000</v>
      </c>
    </row>
    <row r="11" spans="2:9" x14ac:dyDescent="0.2">
      <c r="E11" t="s">
        <v>23</v>
      </c>
      <c r="F11" t="s">
        <v>24</v>
      </c>
      <c r="G11" s="1"/>
      <c r="H11" s="1">
        <f>G20</f>
        <v>47909.183156539453</v>
      </c>
      <c r="I11" s="1">
        <f>H20</f>
        <v>149950.77024487848</v>
      </c>
    </row>
    <row r="12" spans="2:9" x14ac:dyDescent="0.2">
      <c r="B12" s="6" t="s">
        <v>34</v>
      </c>
    </row>
    <row r="13" spans="2:9" x14ac:dyDescent="0.2">
      <c r="B13" t="s">
        <v>4</v>
      </c>
      <c r="C13" s="3">
        <f>((C14+1)^(1/12)-1)*12</f>
        <v>0.1713548870728232</v>
      </c>
      <c r="E13" s="6" t="s">
        <v>15</v>
      </c>
      <c r="F13" s="6"/>
      <c r="G13" s="7">
        <f>SUM(G10:G12)</f>
        <v>2000000</v>
      </c>
      <c r="H13" s="7">
        <f>SUM(H10:H12)</f>
        <v>2047909.1831565395</v>
      </c>
      <c r="I13" s="7">
        <f>SUM(I10:I12)</f>
        <v>2149950.7702448787</v>
      </c>
    </row>
    <row r="14" spans="2:9" x14ac:dyDescent="0.2">
      <c r="B14" t="s">
        <v>5</v>
      </c>
      <c r="C14" s="3">
        <f>B26</f>
        <v>0.18547433018684387</v>
      </c>
      <c r="G14" s="1">
        <f>G8-G13</f>
        <v>0</v>
      </c>
      <c r="H14" s="1">
        <f>H8-H13</f>
        <v>0</v>
      </c>
      <c r="I14" s="1">
        <f>I8-I13</f>
        <v>0</v>
      </c>
    </row>
    <row r="15" spans="2:9" x14ac:dyDescent="0.2">
      <c r="B15" s="5" t="s">
        <v>49</v>
      </c>
      <c r="C15" s="1">
        <f>-(-C4+C5*C4)/1.2+C9</f>
        <v>1368000</v>
      </c>
    </row>
    <row r="16" spans="2:9" x14ac:dyDescent="0.2">
      <c r="E16" s="6" t="s">
        <v>16</v>
      </c>
      <c r="G16" s="6" t="s">
        <v>42</v>
      </c>
      <c r="H16" s="6" t="s">
        <v>44</v>
      </c>
    </row>
    <row r="18" spans="1:9" x14ac:dyDescent="0.2">
      <c r="F18" t="s">
        <v>48</v>
      </c>
      <c r="G18" s="1">
        <f>SUM(B28:B29)+F29-C15</f>
        <v>47909.183156539453</v>
      </c>
      <c r="H18" s="1">
        <f>SUM(B28:B38)+H39-C15</f>
        <v>149950.77024487848</v>
      </c>
    </row>
    <row r="20" spans="1:9" x14ac:dyDescent="0.2">
      <c r="E20" s="6" t="s">
        <v>32</v>
      </c>
      <c r="F20" s="6"/>
      <c r="G20" s="7">
        <f>SUM(G18:G19)</f>
        <v>47909.183156539453</v>
      </c>
      <c r="H20" s="7">
        <f>SUM(H18:H19)</f>
        <v>149950.77024487848</v>
      </c>
    </row>
    <row r="24" spans="1:9" x14ac:dyDescent="0.2">
      <c r="B24" t="s">
        <v>35</v>
      </c>
      <c r="C24" s="1"/>
      <c r="E24" t="s">
        <v>47</v>
      </c>
    </row>
    <row r="25" spans="1:9" x14ac:dyDescent="0.2">
      <c r="F25" t="s">
        <v>37</v>
      </c>
      <c r="H25" t="s">
        <v>38</v>
      </c>
    </row>
    <row r="26" spans="1:9" x14ac:dyDescent="0.2">
      <c r="A26" s="3"/>
      <c r="B26" s="3">
        <f>XIRR(B27:B63,C27:C63)</f>
        <v>0.18547433018684387</v>
      </c>
    </row>
    <row r="27" spans="1:9" x14ac:dyDescent="0.2">
      <c r="A27">
        <v>0</v>
      </c>
      <c r="B27" s="1">
        <f>-C15</f>
        <v>-1368000</v>
      </c>
      <c r="C27" s="4">
        <f>C10</f>
        <v>44941</v>
      </c>
      <c r="F27" s="7"/>
      <c r="G27" s="7"/>
      <c r="H27" s="1"/>
    </row>
    <row r="28" spans="1:9" x14ac:dyDescent="0.2">
      <c r="A28">
        <v>1</v>
      </c>
      <c r="B28" s="1">
        <f>C8/1.2</f>
        <v>48833.333333333336</v>
      </c>
      <c r="C28" s="4">
        <f>EDATE(C$27,A28)</f>
        <v>44972</v>
      </c>
      <c r="F28" s="1"/>
      <c r="G28" s="1"/>
      <c r="H28" s="1"/>
      <c r="I28" s="1"/>
    </row>
    <row r="29" spans="1:9" x14ac:dyDescent="0.2">
      <c r="A29">
        <v>2</v>
      </c>
      <c r="B29" s="1">
        <f>B28</f>
        <v>48833.333333333336</v>
      </c>
      <c r="C29" s="4">
        <f t="shared" ref="C29:C63" si="0">EDATE(C$27,A29)</f>
        <v>45000</v>
      </c>
      <c r="E29" s="4">
        <v>45017</v>
      </c>
      <c r="F29" s="7">
        <f>SUM(F30:F63)</f>
        <v>1318242.5164898727</v>
      </c>
      <c r="G29" s="1"/>
      <c r="H29" s="1"/>
      <c r="I29" s="1"/>
    </row>
    <row r="30" spans="1:9" x14ac:dyDescent="0.2">
      <c r="A30">
        <v>3</v>
      </c>
      <c r="B30" s="1">
        <f t="shared" ref="B30:B63" si="1">B29</f>
        <v>48833.333333333336</v>
      </c>
      <c r="C30" s="4">
        <f t="shared" si="0"/>
        <v>45031</v>
      </c>
      <c r="E30" s="4">
        <f>C30</f>
        <v>45031</v>
      </c>
      <c r="F30" s="1">
        <f>B30/(1+B$26)^((E30-E$29)/365)</f>
        <v>48515.683070074941</v>
      </c>
      <c r="G30" s="1"/>
      <c r="H30" s="1"/>
      <c r="I30" s="1"/>
    </row>
    <row r="31" spans="1:9" x14ac:dyDescent="0.2">
      <c r="A31">
        <v>4</v>
      </c>
      <c r="B31" s="1">
        <f t="shared" si="1"/>
        <v>48833.333333333336</v>
      </c>
      <c r="C31" s="4">
        <f t="shared" si="0"/>
        <v>45061</v>
      </c>
      <c r="E31" s="4">
        <f t="shared" ref="E31:E63" si="2">C31</f>
        <v>45061</v>
      </c>
      <c r="F31" s="1">
        <f>B31/(1+B$26)^((E31-E$29)/365)</f>
        <v>47841.944464931548</v>
      </c>
      <c r="G31" s="1"/>
      <c r="H31" s="1"/>
      <c r="I31" s="1"/>
    </row>
    <row r="32" spans="1:9" x14ac:dyDescent="0.2">
      <c r="A32">
        <v>5</v>
      </c>
      <c r="B32" s="1">
        <f t="shared" si="1"/>
        <v>48833.333333333336</v>
      </c>
      <c r="C32" s="4">
        <f t="shared" si="0"/>
        <v>45092</v>
      </c>
      <c r="E32" s="4">
        <f t="shared" si="2"/>
        <v>45092</v>
      </c>
      <c r="F32" s="1">
        <f>B32/(1+B$26)^((E32-E$29)/365)</f>
        <v>47155.575619990064</v>
      </c>
      <c r="G32" s="1"/>
      <c r="H32" s="1"/>
      <c r="I32" s="1"/>
    </row>
    <row r="33" spans="1:9" x14ac:dyDescent="0.2">
      <c r="A33">
        <v>6</v>
      </c>
      <c r="B33" s="1">
        <f t="shared" si="1"/>
        <v>48833.333333333336</v>
      </c>
      <c r="C33" s="4">
        <f t="shared" si="0"/>
        <v>45122</v>
      </c>
      <c r="E33" s="4">
        <f t="shared" si="2"/>
        <v>45122</v>
      </c>
      <c r="F33" s="1">
        <f>B33/(1+B$26)^((E33-E$29)/365)</f>
        <v>46500.724863852978</v>
      </c>
      <c r="G33" s="1"/>
      <c r="H33" s="1"/>
      <c r="I33" s="1"/>
    </row>
    <row r="34" spans="1:9" x14ac:dyDescent="0.2">
      <c r="A34">
        <v>7</v>
      </c>
      <c r="B34" s="1">
        <f t="shared" si="1"/>
        <v>48833.333333333336</v>
      </c>
      <c r="C34" s="4">
        <f t="shared" si="0"/>
        <v>45153</v>
      </c>
      <c r="E34" s="4">
        <f t="shared" si="2"/>
        <v>45153</v>
      </c>
      <c r="F34" s="1">
        <f>B34/(1+B$26)^((E34-E$29)/365)</f>
        <v>45833.597948952185</v>
      </c>
      <c r="G34" s="1"/>
      <c r="H34" s="1"/>
      <c r="I34" s="1"/>
    </row>
    <row r="35" spans="1:9" x14ac:dyDescent="0.2">
      <c r="A35">
        <v>8</v>
      </c>
      <c r="B35" s="1">
        <f t="shared" si="1"/>
        <v>48833.333333333336</v>
      </c>
      <c r="C35" s="4">
        <f t="shared" si="0"/>
        <v>45184</v>
      </c>
      <c r="E35" s="4">
        <f t="shared" si="2"/>
        <v>45184</v>
      </c>
      <c r="F35" s="1">
        <f>B35/(1+B$26)^((E35-E$29)/365)</f>
        <v>45176.042031533434</v>
      </c>
      <c r="G35" s="1"/>
      <c r="H35" s="1"/>
      <c r="I35" s="1"/>
    </row>
    <row r="36" spans="1:9" x14ac:dyDescent="0.2">
      <c r="A36">
        <v>9</v>
      </c>
      <c r="B36" s="1">
        <f t="shared" si="1"/>
        <v>48833.333333333336</v>
      </c>
      <c r="C36" s="4">
        <f t="shared" si="0"/>
        <v>45214</v>
      </c>
      <c r="E36" s="4">
        <f t="shared" si="2"/>
        <v>45214</v>
      </c>
      <c r="F36" s="1">
        <f>B36/(1+B$26)^((E36-E$29)/365)</f>
        <v>44548.681111967227</v>
      </c>
      <c r="G36" s="1"/>
      <c r="H36" s="1"/>
      <c r="I36" s="1"/>
    </row>
    <row r="37" spans="1:9" x14ac:dyDescent="0.2">
      <c r="A37">
        <v>10</v>
      </c>
      <c r="B37" s="1">
        <f t="shared" si="1"/>
        <v>48833.333333333336</v>
      </c>
      <c r="C37" s="4">
        <f t="shared" si="0"/>
        <v>45245</v>
      </c>
      <c r="E37" s="4">
        <f t="shared" si="2"/>
        <v>45245</v>
      </c>
      <c r="F37" s="1">
        <f>B37/(1+B$26)^((E37-E$29)/365)</f>
        <v>43909.559371819305</v>
      </c>
      <c r="G37" s="1"/>
      <c r="H37" s="1"/>
      <c r="I37" s="1"/>
    </row>
    <row r="38" spans="1:9" x14ac:dyDescent="0.2">
      <c r="A38">
        <v>11</v>
      </c>
      <c r="B38" s="1">
        <f t="shared" si="1"/>
        <v>48833.333333333336</v>
      </c>
      <c r="C38" s="4">
        <f t="shared" si="0"/>
        <v>45275</v>
      </c>
      <c r="E38" s="4">
        <f t="shared" si="2"/>
        <v>45275</v>
      </c>
      <c r="F38" s="1">
        <f>B38/(1+B$26)^((E38-E$29)/365)</f>
        <v>43299.786131259119</v>
      </c>
      <c r="G38" s="1"/>
      <c r="H38" s="1"/>
      <c r="I38" s="1"/>
    </row>
    <row r="39" spans="1:9" x14ac:dyDescent="0.2">
      <c r="A39">
        <v>12</v>
      </c>
      <c r="B39" s="1">
        <f t="shared" si="1"/>
        <v>48833.333333333336</v>
      </c>
      <c r="C39" s="4">
        <f t="shared" si="0"/>
        <v>45306</v>
      </c>
      <c r="E39" s="4">
        <f t="shared" si="2"/>
        <v>45306</v>
      </c>
      <c r="F39" s="1">
        <f>B39/(1+B$26)^((E39-E$29)/365)</f>
        <v>42678.581777516549</v>
      </c>
      <c r="G39" s="4">
        <v>45292</v>
      </c>
      <c r="H39" s="7">
        <f>SUM(H40:H63)</f>
        <v>980784.10357821186</v>
      </c>
      <c r="I39" s="1"/>
    </row>
    <row r="40" spans="1:9" x14ac:dyDescent="0.2">
      <c r="A40">
        <v>13</v>
      </c>
      <c r="B40" s="1">
        <f t="shared" si="1"/>
        <v>48833.333333333336</v>
      </c>
      <c r="C40" s="4">
        <f t="shared" si="0"/>
        <v>45337</v>
      </c>
      <c r="E40" s="4">
        <f t="shared" si="2"/>
        <v>45337</v>
      </c>
      <c r="F40" s="1">
        <f>B40/(1+B$26)^((E40-E$29)/365)</f>
        <v>42066.289589019754</v>
      </c>
      <c r="G40" s="4">
        <f>C40</f>
        <v>45337</v>
      </c>
      <c r="H40" s="1">
        <f>B40/(1+B$26)^((G40-G$39)/365)</f>
        <v>47819.648372430835</v>
      </c>
      <c r="I40" s="1"/>
    </row>
    <row r="41" spans="1:9" x14ac:dyDescent="0.2">
      <c r="A41">
        <v>14</v>
      </c>
      <c r="B41" s="1">
        <f t="shared" si="1"/>
        <v>48833.333333333336</v>
      </c>
      <c r="C41" s="4">
        <f t="shared" si="0"/>
        <v>45366</v>
      </c>
      <c r="E41" s="4">
        <f t="shared" si="2"/>
        <v>45366</v>
      </c>
      <c r="F41" s="1">
        <f>B41/(1+B$26)^((E41-E$29)/365)</f>
        <v>41501.455078868938</v>
      </c>
      <c r="G41" s="4">
        <f t="shared" ref="G41:G63" si="3">C41</f>
        <v>45366</v>
      </c>
      <c r="H41" s="1">
        <f>B41/(1+B$26)^((G41-G$39)/365)</f>
        <v>47177.562086050195</v>
      </c>
      <c r="I41" s="1"/>
    </row>
    <row r="42" spans="1:9" x14ac:dyDescent="0.2">
      <c r="A42">
        <v>15</v>
      </c>
      <c r="B42" s="1">
        <f t="shared" si="1"/>
        <v>48833.333333333336</v>
      </c>
      <c r="C42" s="4">
        <f t="shared" si="0"/>
        <v>45397</v>
      </c>
      <c r="E42" s="4">
        <f t="shared" si="2"/>
        <v>45397</v>
      </c>
      <c r="F42" s="1">
        <f>B42/(1+B$26)^((E42-E$29)/365)</f>
        <v>40906.050646535412</v>
      </c>
      <c r="G42" s="4">
        <f t="shared" si="3"/>
        <v>45397</v>
      </c>
      <c r="H42" s="1">
        <f>B42/(1+B$26)^((G42-G$39)/365)</f>
        <v>46500.724863852978</v>
      </c>
      <c r="I42" s="1"/>
    </row>
    <row r="43" spans="1:9" x14ac:dyDescent="0.2">
      <c r="A43">
        <v>16</v>
      </c>
      <c r="B43" s="1">
        <f t="shared" si="1"/>
        <v>48833.333333333336</v>
      </c>
      <c r="C43" s="4">
        <f t="shared" si="0"/>
        <v>45427</v>
      </c>
      <c r="E43" s="4">
        <f t="shared" si="2"/>
        <v>45427</v>
      </c>
      <c r="F43" s="1">
        <f>B43/(1+B$26)^((E43-E$29)/365)</f>
        <v>40337.987213011969</v>
      </c>
      <c r="G43" s="4">
        <f t="shared" si="3"/>
        <v>45427</v>
      </c>
      <c r="H43" s="1">
        <f>B43/(1+B$26)^((G43-G$39)/365)</f>
        <v>45854.968037907078</v>
      </c>
      <c r="I43" s="1"/>
    </row>
    <row r="44" spans="1:9" x14ac:dyDescent="0.2">
      <c r="A44">
        <v>17</v>
      </c>
      <c r="B44" s="1">
        <f t="shared" si="1"/>
        <v>48833.333333333336</v>
      </c>
      <c r="C44" s="4">
        <f t="shared" si="0"/>
        <v>45458</v>
      </c>
      <c r="E44" s="4">
        <f t="shared" si="2"/>
        <v>45458</v>
      </c>
      <c r="F44" s="1">
        <f>B44/(1+B$26)^((E44-E$29)/365)</f>
        <v>39759.274579144127</v>
      </c>
      <c r="G44" s="4">
        <f t="shared" si="3"/>
        <v>45458</v>
      </c>
      <c r="H44" s="1">
        <f>B44/(1+B$26)^((G44-G$39)/365)</f>
        <v>45197.10553254679</v>
      </c>
      <c r="I44" s="1"/>
    </row>
    <row r="45" spans="1:9" x14ac:dyDescent="0.2">
      <c r="A45">
        <v>18</v>
      </c>
      <c r="B45" s="1">
        <f t="shared" si="1"/>
        <v>48833.333333333336</v>
      </c>
      <c r="C45" s="4">
        <f t="shared" si="0"/>
        <v>45488</v>
      </c>
      <c r="E45" s="4">
        <f t="shared" si="2"/>
        <v>45488</v>
      </c>
      <c r="F45" s="1">
        <f>B45/(1+B$26)^((E45-E$29)/365)</f>
        <v>39207.136455936125</v>
      </c>
      <c r="G45" s="4">
        <f t="shared" si="3"/>
        <v>45488</v>
      </c>
      <c r="H45" s="1">
        <f>B45/(1+B$26)^((G45-G$39)/365)</f>
        <v>44569.452103571384</v>
      </c>
      <c r="I45" s="1"/>
    </row>
    <row r="46" spans="1:9" x14ac:dyDescent="0.2">
      <c r="A46">
        <v>19</v>
      </c>
      <c r="B46" s="1">
        <f t="shared" si="1"/>
        <v>48833.333333333336</v>
      </c>
      <c r="C46" s="4">
        <f t="shared" si="0"/>
        <v>45519</v>
      </c>
      <c r="E46" s="4">
        <f t="shared" si="2"/>
        <v>45519</v>
      </c>
      <c r="F46" s="1">
        <f>B46/(1+B$26)^((E46-E$29)/365)</f>
        <v>38644.647676190769</v>
      </c>
      <c r="G46" s="4">
        <f t="shared" si="3"/>
        <v>45519</v>
      </c>
      <c r="H46" s="1">
        <f>B46/(1+B$26)^((G46-G$39)/365)</f>
        <v>43930.032370487024</v>
      </c>
      <c r="I46" s="1"/>
    </row>
    <row r="47" spans="1:9" x14ac:dyDescent="0.2">
      <c r="A47">
        <v>20</v>
      </c>
      <c r="B47" s="1">
        <f t="shared" si="1"/>
        <v>48833.333333333336</v>
      </c>
      <c r="C47" s="4">
        <f t="shared" si="0"/>
        <v>45550</v>
      </c>
      <c r="E47" s="4">
        <f t="shared" si="2"/>
        <v>45550</v>
      </c>
      <c r="F47" s="1">
        <f>B47/(1+B$26)^((E47-E$29)/365)</f>
        <v>38090.228693322708</v>
      </c>
      <c r="G47" s="4">
        <f t="shared" si="3"/>
        <v>45550</v>
      </c>
      <c r="H47" s="1">
        <f>B47/(1+B$26)^((G47-G$39)/365)</f>
        <v>43299.786131259119</v>
      </c>
      <c r="I47" s="1"/>
    </row>
    <row r="48" spans="1:9" x14ac:dyDescent="0.2">
      <c r="A48">
        <v>21</v>
      </c>
      <c r="B48" s="1">
        <f t="shared" si="1"/>
        <v>48833.333333333336</v>
      </c>
      <c r="C48" s="4">
        <f t="shared" si="0"/>
        <v>45580</v>
      </c>
      <c r="E48" s="4">
        <f t="shared" si="2"/>
        <v>45580</v>
      </c>
      <c r="F48" s="1">
        <f>B48/(1+B$26)^((E48-E$29)/365)</f>
        <v>37561.268655547596</v>
      </c>
      <c r="G48" s="4">
        <f t="shared" si="3"/>
        <v>45580</v>
      </c>
      <c r="H48" s="1">
        <f>B48/(1+B$26)^((G48-G$39)/365)</f>
        <v>42698.480828210093</v>
      </c>
      <c r="I48" s="1"/>
    </row>
    <row r="49" spans="1:9" x14ac:dyDescent="0.2">
      <c r="A49">
        <v>22</v>
      </c>
      <c r="B49" s="1">
        <f t="shared" si="1"/>
        <v>48833.333333333336</v>
      </c>
      <c r="C49" s="4">
        <f t="shared" si="0"/>
        <v>45611</v>
      </c>
      <c r="E49" s="4">
        <f t="shared" si="2"/>
        <v>45611</v>
      </c>
      <c r="F49" s="1">
        <f>B49/(1+B$26)^((E49-E$29)/365)</f>
        <v>37022.392469180581</v>
      </c>
      <c r="G49" s="4">
        <f t="shared" si="3"/>
        <v>45611</v>
      </c>
      <c r="H49" s="1">
        <f>B49/(1+B$26)^((G49-G$39)/365)</f>
        <v>42085.903156157139</v>
      </c>
      <c r="I49" s="1"/>
    </row>
    <row r="50" spans="1:9" x14ac:dyDescent="0.2">
      <c r="A50">
        <v>23</v>
      </c>
      <c r="B50" s="1">
        <f t="shared" si="1"/>
        <v>48833.333333333336</v>
      </c>
      <c r="C50" s="4">
        <f t="shared" si="0"/>
        <v>45641</v>
      </c>
      <c r="E50" s="4">
        <f t="shared" si="2"/>
        <v>45641</v>
      </c>
      <c r="F50" s="1">
        <f>B50/(1+B$26)^((E50-E$29)/365)</f>
        <v>36508.261501979119</v>
      </c>
      <c r="G50" s="4">
        <f t="shared" si="3"/>
        <v>45641</v>
      </c>
      <c r="H50" s="1">
        <f>B50/(1+B$26)^((G50-G$39)/365)</f>
        <v>41501.455078868938</v>
      </c>
      <c r="I50" s="1"/>
    </row>
    <row r="51" spans="1:9" x14ac:dyDescent="0.2">
      <c r="A51">
        <v>24</v>
      </c>
      <c r="B51" s="1">
        <f t="shared" si="1"/>
        <v>48833.333333333336</v>
      </c>
      <c r="C51" s="4">
        <f t="shared" si="0"/>
        <v>45672</v>
      </c>
      <c r="E51" s="4">
        <f t="shared" si="2"/>
        <v>45672</v>
      </c>
      <c r="F51" s="1">
        <f>B51/(1+B$26)^((E51-E$29)/365)</f>
        <v>35984.492379336058</v>
      </c>
      <c r="G51" s="4">
        <f t="shared" si="3"/>
        <v>45672</v>
      </c>
      <c r="H51" s="1">
        <f>B51/(1+B$26)^((G51-G$39)/365)</f>
        <v>40906.050646535412</v>
      </c>
      <c r="I51" s="1"/>
    </row>
    <row r="52" spans="1:9" x14ac:dyDescent="0.2">
      <c r="A52">
        <v>25</v>
      </c>
      <c r="B52" s="1">
        <f t="shared" si="1"/>
        <v>48833.333333333336</v>
      </c>
      <c r="C52" s="4">
        <f t="shared" si="0"/>
        <v>45703</v>
      </c>
      <c r="E52" s="4">
        <f t="shared" si="2"/>
        <v>45703</v>
      </c>
      <c r="F52" s="1">
        <f>B52/(1+B$26)^((E52-E$29)/365)</f>
        <v>35468.237558457804</v>
      </c>
      <c r="G52" s="4">
        <f t="shared" si="3"/>
        <v>45703</v>
      </c>
      <c r="H52" s="1">
        <f>B52/(1+B$26)^((G52-G$39)/365)</f>
        <v>40319.188238508475</v>
      </c>
      <c r="I52" s="1"/>
    </row>
    <row r="53" spans="1:9" x14ac:dyDescent="0.2">
      <c r="A53">
        <v>26</v>
      </c>
      <c r="B53" s="1">
        <f t="shared" si="1"/>
        <v>48833.333333333336</v>
      </c>
      <c r="C53" s="4">
        <f t="shared" si="0"/>
        <v>45731</v>
      </c>
      <c r="E53" s="4">
        <f t="shared" si="2"/>
        <v>45731</v>
      </c>
      <c r="F53" s="1">
        <f>B53/(1+B$26)^((E53-E$29)/365)</f>
        <v>35008.311881648122</v>
      </c>
      <c r="G53" s="4">
        <f t="shared" si="3"/>
        <v>45731</v>
      </c>
      <c r="H53" s="1">
        <f>B53/(1+B$26)^((G53-G$39)/365)</f>
        <v>39796.359047786791</v>
      </c>
      <c r="I53" s="1"/>
    </row>
    <row r="54" spans="1:9" x14ac:dyDescent="0.2">
      <c r="A54">
        <v>27</v>
      </c>
      <c r="B54" s="1">
        <f t="shared" si="1"/>
        <v>48833.333333333336</v>
      </c>
      <c r="C54" s="4">
        <f t="shared" si="0"/>
        <v>45762</v>
      </c>
      <c r="E54" s="4">
        <f t="shared" si="2"/>
        <v>45762</v>
      </c>
      <c r="F54" s="1">
        <f>B54/(1+B$26)^((E54-E$29)/365)</f>
        <v>34506.061923827707</v>
      </c>
      <c r="G54" s="4">
        <f t="shared" si="3"/>
        <v>45762</v>
      </c>
      <c r="H54" s="1">
        <f>B54/(1+B$26)^((G54-G$39)/365)</f>
        <v>39225.416932076419</v>
      </c>
      <c r="I54" s="1"/>
    </row>
    <row r="55" spans="1:9" x14ac:dyDescent="0.2">
      <c r="A55">
        <v>28</v>
      </c>
      <c r="B55" s="1">
        <f t="shared" si="1"/>
        <v>48833.333333333336</v>
      </c>
      <c r="C55" s="4">
        <f t="shared" si="0"/>
        <v>45792</v>
      </c>
      <c r="E55" s="4">
        <f t="shared" si="2"/>
        <v>45792</v>
      </c>
      <c r="F55" s="1">
        <f>B55/(1+B$26)^((E55-E$29)/365)</f>
        <v>34026.875307080045</v>
      </c>
      <c r="G55" s="4">
        <f t="shared" si="3"/>
        <v>45792</v>
      </c>
      <c r="H55" s="1">
        <f>B55/(1+B$26)^((G55-G$39)/365)</f>
        <v>38680.692504476094</v>
      </c>
      <c r="I55" s="1"/>
    </row>
    <row r="56" spans="1:9" x14ac:dyDescent="0.2">
      <c r="A56">
        <v>29</v>
      </c>
      <c r="B56" s="1">
        <f t="shared" si="1"/>
        <v>48833.333333333336</v>
      </c>
      <c r="C56" s="4">
        <f t="shared" si="0"/>
        <v>45823</v>
      </c>
      <c r="E56" s="4">
        <f t="shared" si="2"/>
        <v>45823</v>
      </c>
      <c r="F56" s="1">
        <f>B56/(1+B$26)^((E56-E$29)/365)</f>
        <v>33538.7056191066</v>
      </c>
      <c r="G56" s="4">
        <f t="shared" si="3"/>
        <v>45823</v>
      </c>
      <c r="H56" s="1">
        <f>B56/(1+B$26)^((G56-G$39)/365)</f>
        <v>38125.756401172548</v>
      </c>
      <c r="I56" s="1"/>
    </row>
    <row r="57" spans="1:9" x14ac:dyDescent="0.2">
      <c r="A57">
        <v>30</v>
      </c>
      <c r="B57" s="1">
        <f t="shared" si="1"/>
        <v>48833.333333333336</v>
      </c>
      <c r="C57" s="4">
        <f t="shared" si="0"/>
        <v>45853</v>
      </c>
      <c r="E57" s="4">
        <f t="shared" si="2"/>
        <v>45853</v>
      </c>
      <c r="F57" s="1">
        <f>B57/(1+B$26)^((E57-E$29)/365)</f>
        <v>33072.952705569463</v>
      </c>
      <c r="G57" s="4">
        <f t="shared" si="3"/>
        <v>45853</v>
      </c>
      <c r="H57" s="1">
        <f>B57/(1+B$26)^((G57-G$39)/365)</f>
        <v>37596.302989156036</v>
      </c>
      <c r="I57" s="1"/>
    </row>
    <row r="58" spans="1:9" x14ac:dyDescent="0.2">
      <c r="A58">
        <v>31</v>
      </c>
      <c r="B58" s="1">
        <f t="shared" si="1"/>
        <v>48833.333333333336</v>
      </c>
      <c r="C58" s="4">
        <f t="shared" si="0"/>
        <v>45884</v>
      </c>
      <c r="E58" s="4">
        <f t="shared" si="2"/>
        <v>45884</v>
      </c>
      <c r="F58" s="1">
        <f>B58/(1+B$26)^((E58-E$29)/365)</f>
        <v>32598.468555704578</v>
      </c>
      <c r="G58" s="4">
        <f t="shared" si="3"/>
        <v>45884</v>
      </c>
      <c r="H58" s="1">
        <f>B58/(1+B$26)^((G58-G$39)/365)</f>
        <v>37056.924179508103</v>
      </c>
      <c r="I58" s="1"/>
    </row>
    <row r="59" spans="1:9" x14ac:dyDescent="0.2">
      <c r="A59">
        <v>32</v>
      </c>
      <c r="B59" s="1">
        <f t="shared" si="1"/>
        <v>48833.333333333336</v>
      </c>
      <c r="C59" s="4">
        <f t="shared" si="0"/>
        <v>45915</v>
      </c>
      <c r="E59" s="4">
        <f t="shared" si="2"/>
        <v>45915</v>
      </c>
      <c r="F59" s="1">
        <f>B59/(1+B$26)^((E59-E$29)/365)</f>
        <v>32130.791636221486</v>
      </c>
      <c r="G59" s="4">
        <f t="shared" si="3"/>
        <v>45915</v>
      </c>
      <c r="H59" s="1">
        <f>B59/(1+B$26)^((G59-G$39)/365)</f>
        <v>36525.283617431509</v>
      </c>
      <c r="I59" s="1"/>
    </row>
    <row r="60" spans="1:9" x14ac:dyDescent="0.2">
      <c r="A60">
        <v>33</v>
      </c>
      <c r="B60" s="1">
        <f t="shared" si="1"/>
        <v>48833.333333333336</v>
      </c>
      <c r="C60" s="4">
        <f t="shared" si="0"/>
        <v>45945</v>
      </c>
      <c r="E60" s="4">
        <f t="shared" si="2"/>
        <v>45945</v>
      </c>
      <c r="F60" s="1">
        <f>B60/(1+B$26)^((E60-E$29)/365)</f>
        <v>31684.590462306784</v>
      </c>
      <c r="G60" s="4">
        <f t="shared" si="3"/>
        <v>45945</v>
      </c>
      <c r="H60" s="1">
        <f>B60/(1+B$26)^((G60-G$39)/365)</f>
        <v>36018.056014321584</v>
      </c>
      <c r="I60" s="1"/>
    </row>
    <row r="61" spans="1:9" x14ac:dyDescent="0.2">
      <c r="A61">
        <v>34</v>
      </c>
      <c r="B61" s="1">
        <f t="shared" si="1"/>
        <v>48833.333333333336</v>
      </c>
      <c r="C61" s="4">
        <f t="shared" si="0"/>
        <v>45976</v>
      </c>
      <c r="E61" s="4">
        <f t="shared" si="2"/>
        <v>45976</v>
      </c>
      <c r="F61" s="1">
        <f>B61/(1+B$26)^((E61-E$29)/365)</f>
        <v>31230.024578723216</v>
      </c>
      <c r="G61" s="4">
        <f t="shared" si="3"/>
        <v>45976</v>
      </c>
      <c r="H61" s="1">
        <f>B61/(1+B$26)^((G61-G$39)/365)</f>
        <v>35501.319669675126</v>
      </c>
      <c r="I61" s="1"/>
    </row>
    <row r="62" spans="1:9" x14ac:dyDescent="0.2">
      <c r="A62">
        <v>35</v>
      </c>
      <c r="B62" s="1">
        <f t="shared" si="1"/>
        <v>48833.333333333336</v>
      </c>
      <c r="C62" s="4">
        <f t="shared" si="0"/>
        <v>46006</v>
      </c>
      <c r="E62" s="4">
        <f t="shared" si="2"/>
        <v>46006</v>
      </c>
      <c r="F62" s="1">
        <f>B62/(1+B$26)^((E62-E$29)/365)</f>
        <v>30796.332381338882</v>
      </c>
      <c r="G62" s="4">
        <f t="shared" si="3"/>
        <v>46006</v>
      </c>
      <c r="H62" s="1">
        <f>B62/(1+B$26)^((G62-G$39)/365)</f>
        <v>35008.311881648122</v>
      </c>
      <c r="I62" s="1"/>
    </row>
    <row r="63" spans="1:9" x14ac:dyDescent="0.2">
      <c r="A63">
        <v>36</v>
      </c>
      <c r="B63" s="1">
        <f>B62+C6/1.2</f>
        <v>50083.333333333336</v>
      </c>
      <c r="C63" s="4">
        <f t="shared" si="0"/>
        <v>46037</v>
      </c>
      <c r="E63" s="4">
        <f t="shared" si="2"/>
        <v>46037</v>
      </c>
      <c r="F63" s="1">
        <f>B63/(1+B$26)^((E63-E$29)/365)</f>
        <v>31131.502549917383</v>
      </c>
      <c r="G63" s="4">
        <f t="shared" si="3"/>
        <v>46037</v>
      </c>
      <c r="H63" s="1">
        <f>B63/(1+B$26)^((G63-G$39)/365)</f>
        <v>35389.32289457415</v>
      </c>
      <c r="I6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 у арендатора</vt:lpstr>
      <vt:lpstr>Учет у арендодателя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2023-02-22T06:20:49Z</dcterms:created>
  <dcterms:modified xsi:type="dcterms:W3CDTF">2023-02-23T05:12:14Z</dcterms:modified>
</cp:coreProperties>
</file>